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Sheet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3" i="1"/>
  <c r="R117" l="1"/>
  <c r="R116"/>
  <c r="R115"/>
  <c r="R114"/>
  <c r="R113"/>
  <c r="R112"/>
  <c r="R111"/>
  <c r="R110"/>
  <c r="R109"/>
  <c r="R108"/>
  <c r="R107"/>
  <c r="R106"/>
  <c r="R105"/>
  <c r="R104"/>
  <c r="R103"/>
  <c r="R101"/>
  <c r="O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P81"/>
  <c r="R81" s="1"/>
  <c r="P80"/>
  <c r="R80" s="1"/>
  <c r="R79"/>
  <c r="P79"/>
  <c r="P78"/>
  <c r="R78" s="1"/>
  <c r="P77"/>
  <c r="R77" s="1"/>
  <c r="R76"/>
  <c r="K71"/>
  <c r="L71" s="1"/>
  <c r="J71"/>
  <c r="I71"/>
  <c r="P65"/>
  <c r="C64"/>
  <c r="A64"/>
  <c r="R63"/>
  <c r="O63"/>
  <c r="R62"/>
  <c r="O62"/>
  <c r="R61"/>
  <c r="O61"/>
  <c r="R60"/>
  <c r="O60"/>
  <c r="R59"/>
  <c r="O59"/>
  <c r="R58"/>
  <c r="O58"/>
  <c r="R57"/>
  <c r="O57"/>
  <c r="R56"/>
  <c r="O56"/>
  <c r="R55"/>
  <c r="O55"/>
  <c r="R54"/>
  <c r="O54"/>
  <c r="R53"/>
  <c r="C53"/>
  <c r="I53" s="1"/>
  <c r="R52"/>
  <c r="C52"/>
  <c r="I52" s="1"/>
  <c r="R51"/>
  <c r="O51"/>
  <c r="C51" s="1"/>
  <c r="I51" s="1"/>
  <c r="R50"/>
  <c r="C50"/>
  <c r="I50" s="1"/>
  <c r="R49"/>
  <c r="C49"/>
  <c r="I49" s="1"/>
  <c r="R48"/>
  <c r="C48"/>
  <c r="I48" s="1"/>
  <c r="R47"/>
  <c r="C47"/>
  <c r="I47" s="1"/>
  <c r="R46"/>
  <c r="O46"/>
  <c r="C46" s="1"/>
  <c r="I46" s="1"/>
  <c r="R45"/>
  <c r="O45"/>
  <c r="C45"/>
  <c r="I45" s="1"/>
  <c r="R44"/>
  <c r="O44"/>
  <c r="C44" s="1"/>
  <c r="I44" s="1"/>
  <c r="R43"/>
  <c r="O43"/>
  <c r="R42"/>
  <c r="R41"/>
  <c r="O41"/>
  <c r="R40"/>
  <c r="R39"/>
  <c r="O39"/>
  <c r="R38"/>
  <c r="R37"/>
  <c r="O37"/>
  <c r="R36"/>
  <c r="O36"/>
  <c r="R35"/>
  <c r="O35"/>
  <c r="R34"/>
  <c r="O34"/>
  <c r="R33"/>
  <c r="R32"/>
  <c r="R31"/>
  <c r="R30"/>
  <c r="O30"/>
  <c r="R29"/>
  <c r="R28"/>
  <c r="O28"/>
  <c r="R27"/>
  <c r="O27"/>
  <c r="R26"/>
  <c r="O26"/>
  <c r="R25"/>
  <c r="O25"/>
  <c r="F6"/>
  <c r="E6"/>
  <c r="L4"/>
  <c r="C30" l="1"/>
  <c r="L30" s="1"/>
  <c r="C40"/>
  <c r="H40" s="1"/>
  <c r="I14"/>
  <c r="F20" s="1"/>
  <c r="C42"/>
  <c r="I42" s="1"/>
  <c r="C35"/>
  <c r="I35" s="1"/>
  <c r="C26"/>
  <c r="F26" s="1"/>
  <c r="C32"/>
  <c r="D32" s="1"/>
  <c r="J45"/>
  <c r="J14"/>
  <c r="I12"/>
  <c r="C110"/>
  <c r="I110" s="1"/>
  <c r="C98"/>
  <c r="I98" s="1"/>
  <c r="C90"/>
  <c r="I90" s="1"/>
  <c r="C82"/>
  <c r="I82" s="1"/>
  <c r="C78"/>
  <c r="I78" s="1"/>
  <c r="C115"/>
  <c r="I115" s="1"/>
  <c r="C107"/>
  <c r="I107" s="1"/>
  <c r="C95"/>
  <c r="I95" s="1"/>
  <c r="C87"/>
  <c r="I87" s="1"/>
  <c r="C75"/>
  <c r="I75" s="1"/>
  <c r="C73"/>
  <c r="I73" s="1"/>
  <c r="C112"/>
  <c r="I112" s="1"/>
  <c r="C104"/>
  <c r="I104" s="1"/>
  <c r="C100"/>
  <c r="I100" s="1"/>
  <c r="C92"/>
  <c r="I92" s="1"/>
  <c r="C84"/>
  <c r="I84" s="1"/>
  <c r="C81"/>
  <c r="I81" s="1"/>
  <c r="C77"/>
  <c r="I77" s="1"/>
  <c r="C117"/>
  <c r="I117" s="1"/>
  <c r="C109"/>
  <c r="I109" s="1"/>
  <c r="C97"/>
  <c r="I97" s="1"/>
  <c r="C89"/>
  <c r="I89" s="1"/>
  <c r="C114"/>
  <c r="I114" s="1"/>
  <c r="C106"/>
  <c r="I106" s="1"/>
  <c r="C94"/>
  <c r="I94" s="1"/>
  <c r="C86"/>
  <c r="I86" s="1"/>
  <c r="C80"/>
  <c r="I80" s="1"/>
  <c r="C111"/>
  <c r="I111" s="1"/>
  <c r="C103"/>
  <c r="I103" s="1"/>
  <c r="C99"/>
  <c r="I99" s="1"/>
  <c r="C91"/>
  <c r="I91" s="1"/>
  <c r="C83"/>
  <c r="I83" s="1"/>
  <c r="C76"/>
  <c r="I76" s="1"/>
  <c r="C74"/>
  <c r="I74" s="1"/>
  <c r="C72"/>
  <c r="I72" s="1"/>
  <c r="C116"/>
  <c r="I116" s="1"/>
  <c r="C108"/>
  <c r="I108" s="1"/>
  <c r="C96"/>
  <c r="I96" s="1"/>
  <c r="C88"/>
  <c r="I88" s="1"/>
  <c r="C79"/>
  <c r="I79" s="1"/>
  <c r="C113"/>
  <c r="I113" s="1"/>
  <c r="C105"/>
  <c r="I105" s="1"/>
  <c r="C101"/>
  <c r="I101" s="1"/>
  <c r="C93"/>
  <c r="I93" s="1"/>
  <c r="C85"/>
  <c r="I85" s="1"/>
  <c r="J115"/>
  <c r="G114"/>
  <c r="D113"/>
  <c r="E108"/>
  <c r="K78"/>
  <c r="C61"/>
  <c r="I61" s="1"/>
  <c r="M113"/>
  <c r="C66"/>
  <c r="J66" s="1"/>
  <c r="M53"/>
  <c r="E53"/>
  <c r="J52"/>
  <c r="H51"/>
  <c r="M50"/>
  <c r="E50"/>
  <c r="J49"/>
  <c r="G48"/>
  <c r="L47"/>
  <c r="D47"/>
  <c r="K46"/>
  <c r="J117"/>
  <c r="G116"/>
  <c r="L115"/>
  <c r="M90"/>
  <c r="E90"/>
  <c r="K84"/>
  <c r="D66"/>
  <c r="C60"/>
  <c r="I60" s="1"/>
  <c r="N53"/>
  <c r="F53"/>
  <c r="K52"/>
  <c r="N50"/>
  <c r="F50"/>
  <c r="K49"/>
  <c r="H48"/>
  <c r="M47"/>
  <c r="E47"/>
  <c r="L46"/>
  <c r="D46"/>
  <c r="K45"/>
  <c r="J44"/>
  <c r="C41"/>
  <c r="I41" s="1"/>
  <c r="C38"/>
  <c r="K38" s="1"/>
  <c r="C34"/>
  <c r="K34" s="1"/>
  <c r="C29"/>
  <c r="M29" s="1"/>
  <c r="C25"/>
  <c r="K25" s="1"/>
  <c r="E115"/>
  <c r="J114"/>
  <c r="J106"/>
  <c r="M95"/>
  <c r="G85"/>
  <c r="E73"/>
  <c r="E66"/>
  <c r="G53"/>
  <c r="L52"/>
  <c r="D52"/>
  <c r="J51"/>
  <c r="G50"/>
  <c r="L49"/>
  <c r="D49"/>
  <c r="N47"/>
  <c r="F47"/>
  <c r="M46"/>
  <c r="E46"/>
  <c r="L45"/>
  <c r="D45"/>
  <c r="K44"/>
  <c r="K33"/>
  <c r="C33"/>
  <c r="J33" s="1"/>
  <c r="C59"/>
  <c r="I59" s="1"/>
  <c r="C58"/>
  <c r="I58" s="1"/>
  <c r="C57"/>
  <c r="I57" s="1"/>
  <c r="C56"/>
  <c r="I56" s="1"/>
  <c r="C55"/>
  <c r="I55" s="1"/>
  <c r="C54"/>
  <c r="I54" s="1"/>
  <c r="H53"/>
  <c r="M52"/>
  <c r="E52"/>
  <c r="K51"/>
  <c r="H50"/>
  <c r="M49"/>
  <c r="E49"/>
  <c r="J48"/>
  <c r="G47"/>
  <c r="N46"/>
  <c r="F46"/>
  <c r="M45"/>
  <c r="E45"/>
  <c r="L44"/>
  <c r="D44"/>
  <c r="C37"/>
  <c r="K37" s="1"/>
  <c r="C28"/>
  <c r="E28" s="1"/>
  <c r="H47"/>
  <c r="G46"/>
  <c r="N45"/>
  <c r="F45"/>
  <c r="M44"/>
  <c r="E44"/>
  <c r="C43"/>
  <c r="K43" s="1"/>
  <c r="L117"/>
  <c r="D117"/>
  <c r="N115"/>
  <c r="H113"/>
  <c r="D97"/>
  <c r="M84"/>
  <c r="E84"/>
  <c r="J83"/>
  <c r="J72"/>
  <c r="N66"/>
  <c r="F66"/>
  <c r="C65"/>
  <c r="G65" s="1"/>
  <c r="C63"/>
  <c r="I63" s="1"/>
  <c r="M117"/>
  <c r="D114"/>
  <c r="L106"/>
  <c r="N104"/>
  <c r="K83"/>
  <c r="J79"/>
  <c r="K72"/>
  <c r="G66"/>
  <c r="L65"/>
  <c r="N52"/>
  <c r="F52"/>
  <c r="L51"/>
  <c r="D51"/>
  <c r="N49"/>
  <c r="F49"/>
  <c r="K48"/>
  <c r="K116"/>
  <c r="M114"/>
  <c r="E114"/>
  <c r="E106"/>
  <c r="H95"/>
  <c r="G84"/>
  <c r="H66"/>
  <c r="C62"/>
  <c r="I62" s="1"/>
  <c r="J53"/>
  <c r="G52"/>
  <c r="M51"/>
  <c r="E51"/>
  <c r="J50"/>
  <c r="G49"/>
  <c r="L48"/>
  <c r="D48"/>
  <c r="H46"/>
  <c r="G45"/>
  <c r="N44"/>
  <c r="F44"/>
  <c r="C36"/>
  <c r="G36" s="1"/>
  <c r="C27"/>
  <c r="G27" s="1"/>
  <c r="G117"/>
  <c r="L116"/>
  <c r="D116"/>
  <c r="F114"/>
  <c r="L79"/>
  <c r="D79"/>
  <c r="E72"/>
  <c r="I66"/>
  <c r="F65"/>
  <c r="K53"/>
  <c r="H52"/>
  <c r="N51"/>
  <c r="F51"/>
  <c r="K50"/>
  <c r="H49"/>
  <c r="M48"/>
  <c r="E48"/>
  <c r="J47"/>
  <c r="H45"/>
  <c r="G44"/>
  <c r="C39"/>
  <c r="K39" s="1"/>
  <c r="C31"/>
  <c r="G31" s="1"/>
  <c r="L53"/>
  <c r="D53"/>
  <c r="G51"/>
  <c r="L50"/>
  <c r="D50"/>
  <c r="N48"/>
  <c r="F48"/>
  <c r="K47"/>
  <c r="J46"/>
  <c r="H44"/>
  <c r="D106" l="1"/>
  <c r="E95"/>
  <c r="E11"/>
  <c r="F106"/>
  <c r="D83"/>
  <c r="K106"/>
  <c r="L10"/>
  <c r="H84"/>
  <c r="K79"/>
  <c r="G95"/>
  <c r="L84"/>
  <c r="O9"/>
  <c r="G8"/>
  <c r="N106"/>
  <c r="M83"/>
  <c r="N84"/>
  <c r="N95"/>
  <c r="D84"/>
  <c r="L95"/>
  <c r="L83"/>
  <c r="E83"/>
  <c r="E65"/>
  <c r="M106"/>
  <c r="F84"/>
  <c r="F95"/>
  <c r="H79"/>
  <c r="D95"/>
  <c r="N57"/>
  <c r="F33"/>
  <c r="K113"/>
  <c r="G115"/>
  <c r="F115"/>
  <c r="K115"/>
  <c r="J113"/>
  <c r="L114"/>
  <c r="K114"/>
  <c r="M115"/>
  <c r="H114"/>
  <c r="L113"/>
  <c r="G113"/>
  <c r="N113"/>
  <c r="D115"/>
  <c r="M66"/>
  <c r="I65"/>
  <c r="F113"/>
  <c r="F74"/>
  <c r="E113"/>
  <c r="N114"/>
  <c r="H115"/>
  <c r="L107"/>
  <c r="J73"/>
  <c r="F63"/>
  <c r="J65"/>
  <c r="L66"/>
  <c r="H65"/>
  <c r="M65"/>
  <c r="F107"/>
  <c r="H83"/>
  <c r="G79"/>
  <c r="G107"/>
  <c r="L33"/>
  <c r="L29"/>
  <c r="J35"/>
  <c r="G89"/>
  <c r="M79"/>
  <c r="L88"/>
  <c r="E107"/>
  <c r="E35"/>
  <c r="E79"/>
  <c r="N92"/>
  <c r="K55"/>
  <c r="K95"/>
  <c r="K96"/>
  <c r="D29"/>
  <c r="F28"/>
  <c r="E37"/>
  <c r="F92"/>
  <c r="E29"/>
  <c r="K29"/>
  <c r="G99"/>
  <c r="D107"/>
  <c r="N88"/>
  <c r="G29"/>
  <c r="M54"/>
  <c r="F42"/>
  <c r="F88"/>
  <c r="N91"/>
  <c r="F89"/>
  <c r="H107"/>
  <c r="M25"/>
  <c r="H88"/>
  <c r="J84"/>
  <c r="M88"/>
  <c r="H96"/>
  <c r="K88"/>
  <c r="D31"/>
  <c r="L96"/>
  <c r="F100"/>
  <c r="H91"/>
  <c r="N79"/>
  <c r="F83"/>
  <c r="G54"/>
  <c r="J111"/>
  <c r="J42"/>
  <c r="N33"/>
  <c r="K28"/>
  <c r="K54"/>
  <c r="N42"/>
  <c r="M35"/>
  <c r="E93"/>
  <c r="L60"/>
  <c r="N55"/>
  <c r="M28"/>
  <c r="L54"/>
  <c r="E38"/>
  <c r="D41"/>
  <c r="G80"/>
  <c r="M21"/>
  <c r="L18"/>
  <c r="L41"/>
  <c r="H76"/>
  <c r="G33"/>
  <c r="N54"/>
  <c r="F54"/>
  <c r="L103"/>
  <c r="D54"/>
  <c r="N35"/>
  <c r="L104"/>
  <c r="E42"/>
  <c r="H8"/>
  <c r="L42"/>
  <c r="M41"/>
  <c r="L55"/>
  <c r="H110"/>
  <c r="E41"/>
  <c r="K42"/>
  <c r="N28"/>
  <c r="G35"/>
  <c r="F35"/>
  <c r="K41"/>
  <c r="L19"/>
  <c r="E76"/>
  <c r="F94"/>
  <c r="L109"/>
  <c r="F21"/>
  <c r="M7"/>
  <c r="G10"/>
  <c r="H12"/>
  <c r="F11"/>
  <c r="N7"/>
  <c r="L27"/>
  <c r="F37"/>
  <c r="E111"/>
  <c r="K27"/>
  <c r="M37"/>
  <c r="G60"/>
  <c r="D103"/>
  <c r="J94"/>
  <c r="F31"/>
  <c r="M42"/>
  <c r="M93"/>
  <c r="M20"/>
  <c r="E7"/>
  <c r="N9"/>
  <c r="O11"/>
  <c r="N12"/>
  <c r="J7"/>
  <c r="D42"/>
  <c r="M59"/>
  <c r="M8"/>
  <c r="M19"/>
  <c r="E81"/>
  <c r="L87"/>
  <c r="O14"/>
  <c r="P16"/>
  <c r="P18"/>
  <c r="B21"/>
  <c r="L17"/>
  <c r="M103"/>
  <c r="D76"/>
  <c r="E94"/>
  <c r="N109"/>
  <c r="L58"/>
  <c r="N81"/>
  <c r="J76"/>
  <c r="J28"/>
  <c r="D104"/>
  <c r="K104"/>
  <c r="M12"/>
  <c r="N14"/>
  <c r="N16"/>
  <c r="O18"/>
  <c r="P20"/>
  <c r="M81"/>
  <c r="N10"/>
  <c r="C9"/>
  <c r="L76"/>
  <c r="D30"/>
  <c r="D10"/>
  <c r="N59"/>
  <c r="E103"/>
  <c r="E97"/>
  <c r="D33"/>
  <c r="H27"/>
  <c r="K97"/>
  <c r="H103"/>
  <c r="E12"/>
  <c r="F14"/>
  <c r="F16"/>
  <c r="G18"/>
  <c r="H20"/>
  <c r="L39"/>
  <c r="J41"/>
  <c r="G59"/>
  <c r="L59"/>
  <c r="C12"/>
  <c r="H34"/>
  <c r="E59"/>
  <c r="D59"/>
  <c r="N34"/>
  <c r="N19"/>
  <c r="H29"/>
  <c r="M43"/>
  <c r="F59"/>
  <c r="G97"/>
  <c r="J31"/>
  <c r="H78"/>
  <c r="N87"/>
  <c r="G42"/>
  <c r="K59"/>
  <c r="D11"/>
  <c r="E13"/>
  <c r="E15"/>
  <c r="F17"/>
  <c r="G19"/>
  <c r="H42"/>
  <c r="N15"/>
  <c r="M40"/>
  <c r="G90"/>
  <c r="M34"/>
  <c r="L28"/>
  <c r="N20"/>
  <c r="M18"/>
  <c r="N37"/>
  <c r="H104"/>
  <c r="D40"/>
  <c r="M97"/>
  <c r="L97"/>
  <c r="J40"/>
  <c r="N90"/>
  <c r="G108"/>
  <c r="D82"/>
  <c r="K61"/>
  <c r="H15"/>
  <c r="P8"/>
  <c r="I17"/>
  <c r="P10"/>
  <c r="I19"/>
  <c r="B13"/>
  <c r="J21"/>
  <c r="C15"/>
  <c r="J19"/>
  <c r="C20"/>
  <c r="M10"/>
  <c r="K40"/>
  <c r="N56"/>
  <c r="L56"/>
  <c r="G109"/>
  <c r="L34"/>
  <c r="F61"/>
  <c r="C8"/>
  <c r="N11"/>
  <c r="J8"/>
  <c r="E19"/>
  <c r="O16"/>
  <c r="G55"/>
  <c r="M32"/>
  <c r="E40"/>
  <c r="D62"/>
  <c r="L108"/>
  <c r="L43"/>
  <c r="E56"/>
  <c r="K108"/>
  <c r="H90"/>
  <c r="F104"/>
  <c r="M104"/>
  <c r="E34"/>
  <c r="D34"/>
  <c r="L112"/>
  <c r="M30"/>
  <c r="J97"/>
  <c r="H55"/>
  <c r="K10"/>
  <c r="D19"/>
  <c r="L12"/>
  <c r="E21"/>
  <c r="L14"/>
  <c r="E8"/>
  <c r="M16"/>
  <c r="F10"/>
  <c r="N18"/>
  <c r="B11"/>
  <c r="G13"/>
  <c r="I15"/>
  <c r="D101"/>
  <c r="F55"/>
  <c r="G34"/>
  <c r="F109"/>
  <c r="D55"/>
  <c r="G61"/>
  <c r="M61"/>
  <c r="D61"/>
  <c r="D93"/>
  <c r="K20"/>
  <c r="H9"/>
  <c r="J61"/>
  <c r="J78"/>
  <c r="J90"/>
  <c r="D43"/>
  <c r="M55"/>
  <c r="K103"/>
  <c r="F112"/>
  <c r="E104"/>
  <c r="J59"/>
  <c r="N78"/>
  <c r="D112"/>
  <c r="M82"/>
  <c r="M85"/>
  <c r="F108"/>
  <c r="I8"/>
  <c r="B17"/>
  <c r="J10"/>
  <c r="C19"/>
  <c r="J12"/>
  <c r="C21"/>
  <c r="K14"/>
  <c r="D8"/>
  <c r="L16"/>
  <c r="G12"/>
  <c r="M11"/>
  <c r="B19"/>
  <c r="E18"/>
  <c r="H35"/>
  <c r="L93"/>
  <c r="N40"/>
  <c r="L62"/>
  <c r="P21"/>
  <c r="F19"/>
  <c r="J30"/>
  <c r="L40"/>
  <c r="E55"/>
  <c r="K111"/>
  <c r="J103"/>
  <c r="J55"/>
  <c r="F78"/>
  <c r="J109"/>
  <c r="E101"/>
  <c r="M62"/>
  <c r="L85"/>
  <c r="P7"/>
  <c r="I16"/>
  <c r="B10"/>
  <c r="J18"/>
  <c r="B12"/>
  <c r="J20"/>
  <c r="C14"/>
  <c r="K7"/>
  <c r="D16"/>
  <c r="D18"/>
  <c r="O12"/>
  <c r="G20"/>
  <c r="B8"/>
  <c r="I30"/>
  <c r="K30"/>
  <c r="H30"/>
  <c r="I40"/>
  <c r="F40"/>
  <c r="G40"/>
  <c r="D96"/>
  <c r="D58"/>
  <c r="K99"/>
  <c r="L89"/>
  <c r="M87"/>
  <c r="D87"/>
  <c r="H58"/>
  <c r="G76"/>
  <c r="N96"/>
  <c r="L110"/>
  <c r="N99"/>
  <c r="M76"/>
  <c r="D88"/>
  <c r="N94"/>
  <c r="K36"/>
  <c r="M58"/>
  <c r="H87"/>
  <c r="M94"/>
  <c r="D57"/>
  <c r="K91"/>
  <c r="M77"/>
  <c r="D89"/>
  <c r="G30"/>
  <c r="K56"/>
  <c r="E87"/>
  <c r="E30"/>
  <c r="K92"/>
  <c r="K87"/>
  <c r="F96"/>
  <c r="D110"/>
  <c r="E62"/>
  <c r="H89"/>
  <c r="F99"/>
  <c r="H7"/>
  <c r="L11"/>
  <c r="P15"/>
  <c r="E20"/>
  <c r="I9"/>
  <c r="M13"/>
  <c r="B18"/>
  <c r="H10"/>
  <c r="I11"/>
  <c r="M15"/>
  <c r="B20"/>
  <c r="F9"/>
  <c r="J13"/>
  <c r="N17"/>
  <c r="C7"/>
  <c r="G11"/>
  <c r="K15"/>
  <c r="O19"/>
  <c r="O20"/>
  <c r="K9"/>
  <c r="B7"/>
  <c r="O21"/>
  <c r="I10"/>
  <c r="D21"/>
  <c r="H21"/>
  <c r="G63"/>
  <c r="M96"/>
  <c r="H100"/>
  <c r="G92"/>
  <c r="F81"/>
  <c r="J96"/>
  <c r="L92"/>
  <c r="M110"/>
  <c r="E88"/>
  <c r="K110"/>
  <c r="J15"/>
  <c r="D13"/>
  <c r="J27"/>
  <c r="H13"/>
  <c r="F12"/>
  <c r="D17"/>
  <c r="M91"/>
  <c r="M99"/>
  <c r="E63"/>
  <c r="L91"/>
  <c r="G100"/>
  <c r="H61"/>
  <c r="E89"/>
  <c r="M92"/>
  <c r="M100"/>
  <c r="G110"/>
  <c r="D92"/>
  <c r="D100"/>
  <c r="N110"/>
  <c r="E61"/>
  <c r="K81"/>
  <c r="H99"/>
  <c r="E110"/>
  <c r="N62"/>
  <c r="G83"/>
  <c r="H106"/>
  <c r="F76"/>
  <c r="J87"/>
  <c r="J95"/>
  <c r="C10"/>
  <c r="G14"/>
  <c r="K18"/>
  <c r="O7"/>
  <c r="D12"/>
  <c r="H16"/>
  <c r="L20"/>
  <c r="G9"/>
  <c r="D14"/>
  <c r="H18"/>
  <c r="L7"/>
  <c r="P11"/>
  <c r="E16"/>
  <c r="I20"/>
  <c r="M9"/>
  <c r="B14"/>
  <c r="F18"/>
  <c r="N38"/>
  <c r="O13"/>
  <c r="C17"/>
  <c r="H17"/>
  <c r="H28"/>
  <c r="M14"/>
  <c r="L13"/>
  <c r="G21"/>
  <c r="K35"/>
  <c r="H14"/>
  <c r="D9"/>
  <c r="I7"/>
  <c r="O8"/>
  <c r="E10"/>
  <c r="L63"/>
  <c r="J58"/>
  <c r="H92"/>
  <c r="J110"/>
  <c r="D63"/>
  <c r="K94"/>
  <c r="L100"/>
  <c r="K100"/>
  <c r="H63"/>
  <c r="H94"/>
  <c r="K107"/>
  <c r="E96"/>
  <c r="G37"/>
  <c r="F27"/>
  <c r="P14"/>
  <c r="B15"/>
  <c r="P9"/>
  <c r="G58"/>
  <c r="K31"/>
  <c r="N58"/>
  <c r="H81"/>
  <c r="E91"/>
  <c r="E99"/>
  <c r="G81"/>
  <c r="D91"/>
  <c r="L99"/>
  <c r="J88"/>
  <c r="L94"/>
  <c r="E92"/>
  <c r="E100"/>
  <c r="N30"/>
  <c r="L81"/>
  <c r="F98"/>
  <c r="F110"/>
  <c r="J89"/>
  <c r="F62"/>
  <c r="G94"/>
  <c r="J107"/>
  <c r="J9"/>
  <c r="N13"/>
  <c r="C18"/>
  <c r="G7"/>
  <c r="K11"/>
  <c r="O15"/>
  <c r="D20"/>
  <c r="N8"/>
  <c r="K13"/>
  <c r="O17"/>
  <c r="D7"/>
  <c r="H11"/>
  <c r="L15"/>
  <c r="P19"/>
  <c r="E9"/>
  <c r="I13"/>
  <c r="M17"/>
  <c r="B16"/>
  <c r="F15"/>
  <c r="I18"/>
  <c r="L21"/>
  <c r="C16"/>
  <c r="P17"/>
  <c r="L9"/>
  <c r="K8"/>
  <c r="D35"/>
  <c r="D26"/>
  <c r="D56"/>
  <c r="M89"/>
  <c r="F87"/>
  <c r="G16"/>
  <c r="J16"/>
  <c r="E14"/>
  <c r="G56"/>
  <c r="H38"/>
  <c r="F58"/>
  <c r="N63"/>
  <c r="G38"/>
  <c r="N89"/>
  <c r="D99"/>
  <c r="K76"/>
  <c r="G87"/>
  <c r="D94"/>
  <c r="N100"/>
  <c r="J91"/>
  <c r="J99"/>
  <c r="N107"/>
  <c r="K58"/>
  <c r="F30"/>
  <c r="L38"/>
  <c r="N61"/>
  <c r="D81"/>
  <c r="K89"/>
  <c r="M107"/>
  <c r="K77"/>
  <c r="G88"/>
  <c r="G96"/>
  <c r="L61"/>
  <c r="J81"/>
  <c r="J92"/>
  <c r="J100"/>
  <c r="N83"/>
  <c r="G106"/>
  <c r="B9"/>
  <c r="F13"/>
  <c r="J17"/>
  <c r="N21"/>
  <c r="C11"/>
  <c r="G15"/>
  <c r="K19"/>
  <c r="F8"/>
  <c r="C13"/>
  <c r="G17"/>
  <c r="K21"/>
  <c r="O10"/>
  <c r="D15"/>
  <c r="H19"/>
  <c r="L8"/>
  <c r="P12"/>
  <c r="E17"/>
  <c r="I21"/>
  <c r="K16"/>
  <c r="P13"/>
  <c r="F7"/>
  <c r="L35"/>
  <c r="K17"/>
  <c r="K12"/>
  <c r="J11"/>
  <c r="C67"/>
  <c r="J25"/>
  <c r="I25"/>
  <c r="N25"/>
  <c r="F25"/>
  <c r="D39"/>
  <c r="I39"/>
  <c r="E39"/>
  <c r="I32"/>
  <c r="N32"/>
  <c r="G32"/>
  <c r="I33"/>
  <c r="M33"/>
  <c r="E33"/>
  <c r="I29"/>
  <c r="F29"/>
  <c r="J29"/>
  <c r="N29"/>
  <c r="I34"/>
  <c r="F34"/>
  <c r="G57"/>
  <c r="H77"/>
  <c r="F60"/>
  <c r="G39"/>
  <c r="L75"/>
  <c r="N101"/>
  <c r="G86"/>
  <c r="H60"/>
  <c r="M80"/>
  <c r="F77"/>
  <c r="J116"/>
  <c r="D109"/>
  <c r="L77"/>
  <c r="N82"/>
  <c r="D75"/>
  <c r="E82"/>
  <c r="F101"/>
  <c r="K73"/>
  <c r="M105"/>
  <c r="J112"/>
  <c r="F72"/>
  <c r="K98"/>
  <c r="L105"/>
  <c r="N111"/>
  <c r="K26"/>
  <c r="F32"/>
  <c r="D27"/>
  <c r="E32"/>
  <c r="E43"/>
  <c r="N65"/>
  <c r="D108"/>
  <c r="E54"/>
  <c r="E58"/>
  <c r="M63"/>
  <c r="H73"/>
  <c r="E80"/>
  <c r="M86"/>
  <c r="J93"/>
  <c r="D65"/>
  <c r="E109"/>
  <c r="K65"/>
  <c r="F75"/>
  <c r="G26"/>
  <c r="M38"/>
  <c r="N26"/>
  <c r="D38"/>
  <c r="J57"/>
  <c r="J63"/>
  <c r="D77"/>
  <c r="F82"/>
  <c r="G101"/>
  <c r="K109"/>
  <c r="N39"/>
  <c r="G62"/>
  <c r="H74"/>
  <c r="N93"/>
  <c r="H54"/>
  <c r="G72"/>
  <c r="F79"/>
  <c r="E85"/>
  <c r="G91"/>
  <c r="D98"/>
  <c r="E105"/>
  <c r="G111"/>
  <c r="N76"/>
  <c r="D85"/>
  <c r="F91"/>
  <c r="H97"/>
  <c r="D105"/>
  <c r="F111"/>
  <c r="H117"/>
  <c r="N27"/>
  <c r="H33"/>
  <c r="I36"/>
  <c r="F36"/>
  <c r="J36"/>
  <c r="N36"/>
  <c r="M36"/>
  <c r="I43"/>
  <c r="F43"/>
  <c r="N43"/>
  <c r="G43"/>
  <c r="H75"/>
  <c r="E77"/>
  <c r="M60"/>
  <c r="D60"/>
  <c r="H57"/>
  <c r="N77"/>
  <c r="E60"/>
  <c r="H56"/>
  <c r="H80"/>
  <c r="N72"/>
  <c r="M109"/>
  <c r="N75"/>
  <c r="H39"/>
  <c r="H116"/>
  <c r="J26"/>
  <c r="M74"/>
  <c r="N80"/>
  <c r="N86"/>
  <c r="K93"/>
  <c r="M57"/>
  <c r="L72"/>
  <c r="E86"/>
  <c r="G112"/>
  <c r="G75"/>
  <c r="J108"/>
  <c r="J74"/>
  <c r="H93"/>
  <c r="E25"/>
  <c r="J32"/>
  <c r="J37"/>
  <c r="J56"/>
  <c r="H62"/>
  <c r="M75"/>
  <c r="H108"/>
  <c r="F39"/>
  <c r="L73"/>
  <c r="F93"/>
  <c r="L78"/>
  <c r="L90"/>
  <c r="J104"/>
  <c r="N116"/>
  <c r="K90"/>
  <c r="N103"/>
  <c r="M116"/>
  <c r="J34"/>
  <c r="I26"/>
  <c r="H26"/>
  <c r="L26"/>
  <c r="E31"/>
  <c r="L31"/>
  <c r="I31"/>
  <c r="M31"/>
  <c r="I27"/>
  <c r="M27"/>
  <c r="E27"/>
  <c r="E117"/>
  <c r="K117"/>
  <c r="H86"/>
  <c r="K101"/>
  <c r="D74"/>
  <c r="G82"/>
  <c r="M39"/>
  <c r="H25"/>
  <c r="L36"/>
  <c r="H41"/>
  <c r="E74"/>
  <c r="F80"/>
  <c r="F86"/>
  <c r="H112"/>
  <c r="J39"/>
  <c r="E57"/>
  <c r="K62"/>
  <c r="D72"/>
  <c r="G77"/>
  <c r="J85"/>
  <c r="N97"/>
  <c r="J105"/>
  <c r="L111"/>
  <c r="N117"/>
  <c r="K74"/>
  <c r="L80"/>
  <c r="L86"/>
  <c r="K63"/>
  <c r="N73"/>
  <c r="K80"/>
  <c r="K86"/>
  <c r="M112"/>
  <c r="N41"/>
  <c r="H31"/>
  <c r="J43"/>
  <c r="L25"/>
  <c r="H36"/>
  <c r="E75"/>
  <c r="G93"/>
  <c r="M26"/>
  <c r="H32"/>
  <c r="H43"/>
  <c r="D73"/>
  <c r="M78"/>
  <c r="N85"/>
  <c r="M98"/>
  <c r="N105"/>
  <c r="K112"/>
  <c r="J60"/>
  <c r="K66"/>
  <c r="D78"/>
  <c r="D90"/>
  <c r="G103"/>
  <c r="F116"/>
  <c r="J75"/>
  <c r="F103"/>
  <c r="H109"/>
  <c r="E116"/>
  <c r="K32"/>
  <c r="I28"/>
  <c r="D28"/>
  <c r="G28"/>
  <c r="I37"/>
  <c r="D37"/>
  <c r="H37"/>
  <c r="L37"/>
  <c r="I38"/>
  <c r="J38"/>
  <c r="F57"/>
  <c r="N60"/>
  <c r="G105"/>
  <c r="K75"/>
  <c r="L74"/>
  <c r="J101"/>
  <c r="F90"/>
  <c r="G74"/>
  <c r="F56"/>
  <c r="J82"/>
  <c r="G41"/>
  <c r="H82"/>
  <c r="H101"/>
  <c r="L98"/>
  <c r="D36"/>
  <c r="M72"/>
  <c r="K85"/>
  <c r="J98"/>
  <c r="K105"/>
  <c r="M111"/>
  <c r="G25"/>
  <c r="L32"/>
  <c r="M56"/>
  <c r="F97"/>
  <c r="G104"/>
  <c r="D111"/>
  <c r="F117"/>
  <c r="L57"/>
  <c r="J62"/>
  <c r="G73"/>
  <c r="D80"/>
  <c r="D86"/>
  <c r="H98"/>
  <c r="N112"/>
  <c r="F73"/>
  <c r="G78"/>
  <c r="H85"/>
  <c r="G98"/>
  <c r="H105"/>
  <c r="E112"/>
  <c r="F41"/>
  <c r="K57"/>
  <c r="D25"/>
  <c r="J54"/>
  <c r="M73"/>
  <c r="J80"/>
  <c r="J86"/>
  <c r="N98"/>
  <c r="E26"/>
  <c r="N31"/>
  <c r="K60"/>
  <c r="H72"/>
  <c r="E78"/>
  <c r="F85"/>
  <c r="E98"/>
  <c r="F105"/>
  <c r="H111"/>
  <c r="H59"/>
  <c r="J77"/>
  <c r="L82"/>
  <c r="M101"/>
  <c r="N108"/>
  <c r="N74"/>
  <c r="K82"/>
  <c r="L101"/>
  <c r="M108"/>
  <c r="E36"/>
  <c r="F38"/>
  <c r="I67" l="1"/>
  <c r="L67"/>
  <c r="H67"/>
  <c r="D67"/>
  <c r="F67"/>
  <c r="G67"/>
  <c r="E67"/>
  <c r="K67"/>
  <c r="N67"/>
  <c r="J67"/>
  <c r="M67"/>
</calcChain>
</file>

<file path=xl/sharedStrings.xml><?xml version="1.0" encoding="utf-8"?>
<sst xmlns="http://schemas.openxmlformats.org/spreadsheetml/2006/main" count="145" uniqueCount="136">
  <si>
    <t>유저정보입력</t>
    <phoneticPr fontId="11" type="noConversion"/>
  </si>
  <si>
    <t>무단전재 배포금지!!</t>
    <phoneticPr fontId="11" type="noConversion"/>
  </si>
  <si>
    <t>체력입력-&gt;</t>
    <phoneticPr fontId="11" type="noConversion"/>
  </si>
  <si>
    <t>전사 데미지 계산</t>
    <phoneticPr fontId="11" type="noConversion"/>
  </si>
  <si>
    <t>행복@유리</t>
    <phoneticPr fontId="11" type="noConversion"/>
  </si>
  <si>
    <t>FiBDcalc</t>
    <phoneticPr fontId="11" type="noConversion"/>
  </si>
  <si>
    <t>힘입력-&gt;</t>
    <phoneticPr fontId="11" type="noConversion"/>
  </si>
  <si>
    <t>지력입력-&gt;</t>
    <phoneticPr fontId="11" type="noConversion"/>
  </si>
  <si>
    <t>데미지입력↓</t>
    <phoneticPr fontId="11" type="noConversion"/>
  </si>
  <si>
    <t>방어력입력↓</t>
    <phoneticPr fontId="11" type="noConversion"/>
  </si>
  <si>
    <t>피해율(%)</t>
    <phoneticPr fontId="11" type="noConversion"/>
  </si>
  <si>
    <t>데미지</t>
    <phoneticPr fontId="11" type="noConversion"/>
  </si>
  <si>
    <t>방어력 입력-&gt;</t>
    <phoneticPr fontId="11" type="noConversion"/>
  </si>
  <si>
    <t>포효검황 5성데미지</t>
    <phoneticPr fontId="11" type="noConversion"/>
  </si>
  <si>
    <t>시야</t>
    <phoneticPr fontId="11" type="noConversion"/>
  </si>
  <si>
    <t>범위</t>
    <phoneticPr fontId="11" type="noConversion"/>
  </si>
  <si>
    <t xml:space="preserve">데미지 </t>
    <phoneticPr fontId="11" type="noConversion"/>
  </si>
  <si>
    <t>없음</t>
    <phoneticPr fontId="11" type="noConversion"/>
  </si>
  <si>
    <t>마법종류</t>
    <phoneticPr fontId="11" type="noConversion"/>
  </si>
  <si>
    <t>비율</t>
    <phoneticPr fontId="11" type="noConversion"/>
  </si>
  <si>
    <t>X</t>
    <phoneticPr fontId="11" type="noConversion"/>
  </si>
  <si>
    <t>Y</t>
    <phoneticPr fontId="11" type="noConversion"/>
  </si>
  <si>
    <t>/</t>
    <phoneticPr fontId="11" type="noConversion"/>
  </si>
  <si>
    <t>쇄혼비검</t>
    <phoneticPr fontId="11" type="noConversion"/>
  </si>
  <si>
    <t>초혼비검</t>
    <phoneticPr fontId="11" type="noConversion"/>
  </si>
  <si>
    <t>허공난무</t>
    <phoneticPr fontId="11" type="noConversion"/>
  </si>
  <si>
    <t>극백호참</t>
    <phoneticPr fontId="11" type="noConversion"/>
  </si>
  <si>
    <t>백호참1성</t>
    <phoneticPr fontId="11" type="noConversion"/>
  </si>
  <si>
    <t>백호참 2성</t>
    <phoneticPr fontId="11" type="noConversion"/>
  </si>
  <si>
    <t>백호참3성</t>
    <phoneticPr fontId="11" type="noConversion"/>
  </si>
  <si>
    <t>백호참4성</t>
    <phoneticPr fontId="11" type="noConversion"/>
  </si>
  <si>
    <t>백호참 5성</t>
    <phoneticPr fontId="11" type="noConversion"/>
  </si>
  <si>
    <t>어검술1성</t>
    <phoneticPr fontId="11" type="noConversion"/>
  </si>
  <si>
    <t>어검술1성 뒷줄</t>
    <phoneticPr fontId="11" type="noConversion"/>
  </si>
  <si>
    <t>어검술2성</t>
    <phoneticPr fontId="11" type="noConversion"/>
  </si>
  <si>
    <t>어검술2성 뒷줄</t>
    <phoneticPr fontId="11" type="noConversion"/>
  </si>
  <si>
    <t>어검술3성</t>
    <phoneticPr fontId="11" type="noConversion"/>
  </si>
  <si>
    <t>어검술3성 뒷줄</t>
    <phoneticPr fontId="11" type="noConversion"/>
  </si>
  <si>
    <t>어검술4성</t>
    <phoneticPr fontId="11" type="noConversion"/>
  </si>
  <si>
    <t>어검술4성 뒷줄</t>
    <phoneticPr fontId="11" type="noConversion"/>
  </si>
  <si>
    <t>어검술5성</t>
    <phoneticPr fontId="11" type="noConversion"/>
  </si>
  <si>
    <t>어검술5성 뒷줄</t>
    <phoneticPr fontId="11" type="noConversion"/>
  </si>
  <si>
    <t>동귀어진1성</t>
    <phoneticPr fontId="11" type="noConversion"/>
  </si>
  <si>
    <t>동귀어진2성</t>
    <phoneticPr fontId="11" type="noConversion"/>
  </si>
  <si>
    <t>동귀어진3성</t>
    <phoneticPr fontId="11" type="noConversion"/>
  </si>
  <si>
    <t>동귀어진 4성</t>
    <phoneticPr fontId="11" type="noConversion"/>
  </si>
  <si>
    <t>동귀어진5성</t>
    <phoneticPr fontId="11" type="noConversion"/>
  </si>
  <si>
    <t>건곤대나이 1성</t>
    <phoneticPr fontId="11" type="noConversion"/>
  </si>
  <si>
    <t>건곤대나이 2성</t>
    <phoneticPr fontId="11" type="noConversion"/>
  </si>
  <si>
    <t>건곤대나이 3성</t>
    <phoneticPr fontId="11" type="noConversion"/>
  </si>
  <si>
    <t>건곤대나이4성</t>
    <phoneticPr fontId="11" type="noConversion"/>
  </si>
  <si>
    <t>건곤대나이 5성</t>
    <phoneticPr fontId="11" type="noConversion"/>
  </si>
  <si>
    <t>포효검황 1성</t>
    <phoneticPr fontId="11" type="noConversion"/>
  </si>
  <si>
    <t>포효검황 2성</t>
    <phoneticPr fontId="11" type="noConversion"/>
  </si>
  <si>
    <t>포효검황 3성</t>
    <phoneticPr fontId="11" type="noConversion"/>
  </si>
  <si>
    <t>포효검황 4성</t>
    <phoneticPr fontId="11" type="noConversion"/>
  </si>
  <si>
    <t>포효검황5성</t>
    <phoneticPr fontId="11" type="noConversion"/>
  </si>
  <si>
    <t>혈겁만파 1성</t>
    <phoneticPr fontId="11" type="noConversion"/>
  </si>
  <si>
    <t>혈겁만파2성</t>
    <phoneticPr fontId="11" type="noConversion"/>
  </si>
  <si>
    <t>혈겁만파3성</t>
    <phoneticPr fontId="11" type="noConversion"/>
  </si>
  <si>
    <t>혈겁만파 4성</t>
    <phoneticPr fontId="11" type="noConversion"/>
  </si>
  <si>
    <t>혈겁만파 5성</t>
    <phoneticPr fontId="11" type="noConversion"/>
  </si>
  <si>
    <t>광폭1성</t>
    <phoneticPr fontId="11" type="noConversion"/>
  </si>
  <si>
    <t>광폭2성</t>
    <phoneticPr fontId="11" type="noConversion"/>
  </si>
  <si>
    <t>광폭3성</t>
    <phoneticPr fontId="11" type="noConversion"/>
  </si>
  <si>
    <t>광폭4성</t>
    <phoneticPr fontId="11" type="noConversion"/>
  </si>
  <si>
    <t>광폭5성</t>
    <phoneticPr fontId="11" type="noConversion"/>
  </si>
  <si>
    <t>진백호령</t>
    <phoneticPr fontId="11" type="noConversion"/>
  </si>
  <si>
    <t>1성+진백</t>
    <phoneticPr fontId="11" type="noConversion"/>
  </si>
  <si>
    <t>2성+진백</t>
    <phoneticPr fontId="11" type="noConversion"/>
  </si>
  <si>
    <t>3성+진백</t>
    <phoneticPr fontId="11" type="noConversion"/>
  </si>
  <si>
    <t>4성+진백</t>
    <phoneticPr fontId="11" type="noConversion"/>
  </si>
  <si>
    <t>5성+진백</t>
    <phoneticPr fontId="11" type="noConversion"/>
  </si>
  <si>
    <t>탈명사식'염</t>
    <phoneticPr fontId="11" type="noConversion"/>
  </si>
  <si>
    <r>
      <t>탈명사식'</t>
    </r>
    <r>
      <rPr>
        <sz val="11"/>
        <color theme="1"/>
        <rFont val="맑은 고딕"/>
        <family val="2"/>
        <charset val="129"/>
        <scheme val="minor"/>
      </rPr>
      <t>X염</t>
    </r>
    <phoneticPr fontId="11" type="noConversion"/>
  </si>
  <si>
    <t>연쇄기</t>
    <phoneticPr fontId="11" type="noConversion"/>
  </si>
  <si>
    <t>무기뎀</t>
    <phoneticPr fontId="11" type="noConversion"/>
  </si>
  <si>
    <t>체력비례</t>
    <phoneticPr fontId="11" type="noConversion"/>
  </si>
  <si>
    <t>소모체력</t>
    <phoneticPr fontId="11" type="noConversion"/>
  </si>
  <si>
    <t>소모비례</t>
    <phoneticPr fontId="11" type="noConversion"/>
  </si>
  <si>
    <t>소모체력%</t>
    <phoneticPr fontId="11" type="noConversion"/>
  </si>
  <si>
    <t>최소입력</t>
    <phoneticPr fontId="11" type="noConversion"/>
  </si>
  <si>
    <t>최대입력</t>
    <phoneticPr fontId="11" type="noConversion"/>
  </si>
  <si>
    <t>힘입력</t>
    <phoneticPr fontId="11" type="noConversion"/>
  </si>
  <si>
    <t>공격수정입력</t>
    <phoneticPr fontId="11" type="noConversion"/>
  </si>
  <si>
    <t>십리건곤1성</t>
    <phoneticPr fontId="11" type="noConversion"/>
  </si>
  <si>
    <t>십리건곤2성</t>
  </si>
  <si>
    <t>십리건곤3성</t>
  </si>
  <si>
    <t>십리건곤4성</t>
  </si>
  <si>
    <t>십리건곤5성</t>
  </si>
  <si>
    <t>백리건곤1성</t>
    <phoneticPr fontId="11" type="noConversion"/>
  </si>
  <si>
    <t>백리건곤2성</t>
  </si>
  <si>
    <t>백리건곤3성</t>
  </si>
  <si>
    <t>백리건곤4성</t>
  </si>
  <si>
    <t>백리건곤5성</t>
  </si>
  <si>
    <t>천리건곤1성</t>
    <phoneticPr fontId="11" type="noConversion"/>
  </si>
  <si>
    <t>천리건곤2성</t>
  </si>
  <si>
    <t>천리건곤3성</t>
  </si>
  <si>
    <t>천리건곤4성</t>
  </si>
  <si>
    <t>천리건곤5성</t>
  </si>
  <si>
    <t>만리건곤1성</t>
    <phoneticPr fontId="11" type="noConversion"/>
  </si>
  <si>
    <t>만리건곤2성</t>
  </si>
  <si>
    <t>만리건곤3성</t>
  </si>
  <si>
    <t>만리건곤4성</t>
  </si>
  <si>
    <t>만리건곤5성</t>
  </si>
  <si>
    <t>무극건곤1성</t>
    <phoneticPr fontId="11" type="noConversion"/>
  </si>
  <si>
    <t>무극건곤2성</t>
  </si>
  <si>
    <t>무극건곤3성</t>
  </si>
  <si>
    <t>무극건곤4성</t>
  </si>
  <si>
    <t>무극건곤5성</t>
  </si>
  <si>
    <t>광야건곤1성</t>
    <phoneticPr fontId="11" type="noConversion"/>
  </si>
  <si>
    <t>광야건곤2성</t>
  </si>
  <si>
    <t>광야건곤3성</t>
  </si>
  <si>
    <t>광야건곤4성</t>
  </si>
  <si>
    <t>광야건곤5성</t>
  </si>
  <si>
    <t>회선돌격1성</t>
    <phoneticPr fontId="11" type="noConversion"/>
  </si>
  <si>
    <t>회선돌격2성</t>
  </si>
  <si>
    <t>회선돌격3성</t>
  </si>
  <si>
    <t>회선돌격4성</t>
  </si>
  <si>
    <t>회선돌격5성</t>
  </si>
  <si>
    <t>영풍진격1성</t>
    <phoneticPr fontId="11" type="noConversion"/>
  </si>
  <si>
    <t>영풍진격2성</t>
  </si>
  <si>
    <t>영풍진격3성</t>
  </si>
  <si>
    <t>영풍진격4성</t>
  </si>
  <si>
    <t>영풍진격5성</t>
  </si>
  <si>
    <t>소모마력</t>
    <phoneticPr fontId="11" type="noConversion"/>
  </si>
  <si>
    <t>소모마력%</t>
    <phoneticPr fontId="11" type="noConversion"/>
  </si>
  <si>
    <t>반격1성</t>
    <phoneticPr fontId="11" type="noConversion"/>
  </si>
  <si>
    <t>반격2성</t>
  </si>
  <si>
    <t>반격3성</t>
  </si>
  <si>
    <t>반격4성</t>
  </si>
  <si>
    <t>반격5성</t>
  </si>
  <si>
    <t>&lt;-이런모양의 셀에만 수치입력가능</t>
    <phoneticPr fontId="11" type="noConversion"/>
  </si>
  <si>
    <t>PassWord</t>
    <phoneticPr fontId="11" type="noConversion"/>
  </si>
  <si>
    <t>barch.kr</t>
    <phoneticPr fontId="11" type="noConversion"/>
  </si>
  <si>
    <t>체력 1만이상만 계산가능</t>
    <phoneticPr fontId="11" type="noConversion"/>
  </si>
</sst>
</file>

<file path=xl/styles.xml><?xml version="1.0" encoding="utf-8"?>
<styleSheet xmlns="http://schemas.openxmlformats.org/spreadsheetml/2006/main">
  <numFmts count="16">
    <numFmt numFmtId="41" formatCode="_-* #,##0_-;\-* #,##0_-;_-* &quot;-&quot;_-;_-@_-"/>
    <numFmt numFmtId="176" formatCode="0_ ;[Red]\-0\ "/>
    <numFmt numFmtId="177" formatCode="#,##0_ ;[Red]\-#,##0\ "/>
    <numFmt numFmtId="178" formatCode="&quot;광폭1성&quot;"/>
    <numFmt numFmtId="179" formatCode="&quot;광폭2성&quot;"/>
    <numFmt numFmtId="180" formatCode="&quot;광폭3성&quot;"/>
    <numFmt numFmtId="181" formatCode="&quot;광폭4성&quot;"/>
    <numFmt numFmtId="182" formatCode="&quot;광폭5성&quot;"/>
    <numFmt numFmtId="183" formatCode="&quot;진백호령&quot;"/>
    <numFmt numFmtId="184" formatCode="&quot;광폭1성+진백&quot;"/>
    <numFmt numFmtId="185" formatCode="&quot;광폭2성+진백&quot;"/>
    <numFmt numFmtId="186" formatCode="&quot;광폭3성+진백&quot;"/>
    <numFmt numFmtId="187" formatCode="&quot;광폭4성+진백&quot;"/>
    <numFmt numFmtId="188" formatCode="&quot;광폭5성+진백&quot;"/>
    <numFmt numFmtId="192" formatCode="0.0000_ ;[Red]\-0.0000\ "/>
    <numFmt numFmtId="196" formatCode="\ 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2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1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7" fillId="6" borderId="1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176" fontId="0" fillId="0" borderId="0" xfId="0" applyNumberFormat="1" applyProtection="1">
      <alignment vertical="center"/>
      <protection hidden="1"/>
    </xf>
    <xf numFmtId="177" fontId="6" fillId="6" borderId="5" xfId="6" applyNumberFormat="1" applyBorder="1" applyAlignment="1" applyProtection="1">
      <alignment horizontal="center" vertical="center"/>
      <protection hidden="1"/>
    </xf>
    <xf numFmtId="177" fontId="12" fillId="6" borderId="6" xfId="6" applyNumberFormat="1" applyFont="1" applyBorder="1" applyAlignment="1" applyProtection="1">
      <alignment horizontal="center" vertical="center"/>
      <protection hidden="1"/>
    </xf>
    <xf numFmtId="177" fontId="0" fillId="0" borderId="0" xfId="0" applyNumberFormat="1" applyProtection="1">
      <alignment vertical="center"/>
      <protection hidden="1"/>
    </xf>
    <xf numFmtId="177" fontId="9" fillId="0" borderId="7" xfId="9" applyNumberFormat="1" applyBorder="1" applyAlignment="1" applyProtection="1">
      <alignment horizontal="center" vertical="center"/>
      <protection hidden="1"/>
    </xf>
    <xf numFmtId="177" fontId="9" fillId="0" borderId="8" xfId="9" applyNumberFormat="1" applyBorder="1" applyAlignment="1" applyProtection="1">
      <alignment horizontal="center" vertical="center"/>
      <protection hidden="1"/>
    </xf>
    <xf numFmtId="177" fontId="9" fillId="0" borderId="9" xfId="9" applyNumberFormat="1" applyBorder="1" applyAlignment="1" applyProtection="1">
      <alignment horizontal="center" vertical="center"/>
      <protection hidden="1"/>
    </xf>
    <xf numFmtId="177" fontId="9" fillId="8" borderId="10" xfId="10" applyNumberFormat="1" applyFont="1" applyBorder="1" applyProtection="1">
      <alignment vertical="center"/>
      <protection hidden="1"/>
    </xf>
    <xf numFmtId="177" fontId="7" fillId="6" borderId="1" xfId="7" applyNumberFormat="1" applyProtection="1">
      <alignment vertical="center"/>
      <protection hidden="1"/>
    </xf>
    <xf numFmtId="177" fontId="8" fillId="7" borderId="11" xfId="8" applyNumberFormat="1" applyBorder="1" applyAlignment="1" applyProtection="1">
      <alignment horizontal="center" vertical="center"/>
      <protection hidden="1"/>
    </xf>
    <xf numFmtId="177" fontId="8" fillId="7" borderId="12" xfId="8" applyNumberFormat="1" applyBorder="1" applyAlignment="1" applyProtection="1">
      <alignment horizontal="center" vertical="center"/>
      <protection hidden="1"/>
    </xf>
    <xf numFmtId="177" fontId="8" fillId="7" borderId="13" xfId="8" applyNumberFormat="1" applyBorder="1" applyAlignment="1" applyProtection="1">
      <alignment horizontal="center" vertical="center"/>
      <protection hidden="1"/>
    </xf>
    <xf numFmtId="177" fontId="0" fillId="0" borderId="14" xfId="0" applyNumberFormat="1" applyBorder="1" applyProtection="1">
      <alignment vertical="center"/>
      <protection hidden="1"/>
    </xf>
    <xf numFmtId="177" fontId="13" fillId="0" borderId="14" xfId="0" applyNumberFormat="1" applyFont="1" applyBorder="1" applyProtection="1">
      <alignment vertical="center"/>
      <protection hidden="1"/>
    </xf>
    <xf numFmtId="177" fontId="9" fillId="8" borderId="14" xfId="10" applyNumberFormat="1" applyFont="1" applyBorder="1" applyProtection="1">
      <alignment vertical="center"/>
      <protection hidden="1"/>
    </xf>
    <xf numFmtId="177" fontId="7" fillId="6" borderId="14" xfId="7" applyNumberFormat="1" applyBorder="1" applyProtection="1">
      <alignment vertical="center"/>
      <protection locked="0"/>
    </xf>
    <xf numFmtId="177" fontId="8" fillId="7" borderId="15" xfId="8" applyNumberFormat="1" applyBorder="1" applyAlignment="1" applyProtection="1">
      <alignment horizontal="center" vertical="center"/>
      <protection hidden="1"/>
    </xf>
    <xf numFmtId="177" fontId="8" fillId="7" borderId="16" xfId="8" applyNumberFormat="1" applyBorder="1" applyAlignment="1" applyProtection="1">
      <alignment horizontal="center" vertical="center"/>
      <protection hidden="1"/>
    </xf>
    <xf numFmtId="177" fontId="8" fillId="7" borderId="17" xfId="8" applyNumberFormat="1" applyBorder="1" applyAlignment="1" applyProtection="1">
      <alignment horizontal="center" vertical="center"/>
      <protection hidden="1"/>
    </xf>
    <xf numFmtId="177" fontId="14" fillId="8" borderId="4" xfId="10" applyNumberFormat="1" applyFont="1" applyProtection="1">
      <alignment vertical="center"/>
      <protection hidden="1"/>
    </xf>
    <xf numFmtId="177" fontId="15" fillId="8" borderId="4" xfId="10" applyNumberFormat="1" applyFont="1" applyAlignment="1" applyProtection="1">
      <alignment horizontal="center" vertical="center"/>
      <protection hidden="1"/>
    </xf>
    <xf numFmtId="177" fontId="16" fillId="8" borderId="18" xfId="10" applyNumberFormat="1" applyFont="1" applyBorder="1" applyAlignment="1" applyProtection="1">
      <alignment vertical="center"/>
      <protection hidden="1"/>
    </xf>
    <xf numFmtId="177" fontId="7" fillId="6" borderId="18" xfId="7" applyNumberFormat="1" applyBorder="1" applyAlignment="1" applyProtection="1">
      <alignment vertical="center"/>
      <protection locked="0"/>
    </xf>
    <xf numFmtId="177" fontId="7" fillId="6" borderId="14" xfId="7" applyNumberFormat="1" applyBorder="1" applyAlignment="1" applyProtection="1">
      <alignment vertical="center"/>
      <protection locked="0"/>
    </xf>
    <xf numFmtId="177" fontId="5" fillId="5" borderId="1" xfId="5" applyNumberFormat="1" applyAlignment="1" applyProtection="1">
      <alignment horizontal="center" vertical="center"/>
      <protection hidden="1"/>
    </xf>
    <xf numFmtId="177" fontId="6" fillId="6" borderId="18" xfId="6" applyNumberFormat="1" applyBorder="1" applyAlignment="1" applyProtection="1">
      <alignment horizontal="center" vertical="center"/>
      <protection hidden="1"/>
    </xf>
    <xf numFmtId="177" fontId="12" fillId="6" borderId="18" xfId="6" applyNumberFormat="1" applyFont="1" applyBorder="1" applyAlignment="1" applyProtection="1">
      <alignment horizontal="center" vertical="center"/>
      <protection hidden="1"/>
    </xf>
    <xf numFmtId="176" fontId="2" fillId="2" borderId="14" xfId="2" applyNumberFormat="1" applyBorder="1" applyProtection="1">
      <alignment vertical="center"/>
      <protection hidden="1"/>
    </xf>
    <xf numFmtId="177" fontId="4" fillId="4" borderId="14" xfId="4" applyNumberFormat="1" applyBorder="1" applyProtection="1">
      <alignment vertical="center"/>
      <protection hidden="1"/>
    </xf>
    <xf numFmtId="177" fontId="3" fillId="3" borderId="14" xfId="3" applyNumberFormat="1" applyBorder="1" applyProtection="1">
      <alignment vertical="center"/>
      <protection hidden="1"/>
    </xf>
    <xf numFmtId="177" fontId="10" fillId="9" borderId="14" xfId="11" applyNumberFormat="1" applyBorder="1" applyProtection="1">
      <alignment vertical="center"/>
      <protection hidden="1"/>
    </xf>
    <xf numFmtId="176" fontId="0" fillId="21" borderId="19" xfId="23" applyNumberFormat="1" applyFont="1" applyBorder="1" applyAlignment="1" applyProtection="1">
      <alignment horizontal="center" vertical="center"/>
      <protection hidden="1"/>
    </xf>
    <xf numFmtId="176" fontId="1" fillId="21" borderId="19" xfId="23" applyNumberFormat="1" applyBorder="1" applyAlignment="1" applyProtection="1">
      <alignment horizontal="center" vertical="center"/>
      <protection hidden="1"/>
    </xf>
    <xf numFmtId="176" fontId="10" fillId="9" borderId="19" xfId="11" applyNumberFormat="1" applyBorder="1" applyAlignment="1" applyProtection="1">
      <alignment horizontal="center" vertical="center"/>
      <protection hidden="1"/>
    </xf>
    <xf numFmtId="178" fontId="10" fillId="11" borderId="19" xfId="13" applyNumberFormat="1" applyBorder="1" applyAlignment="1" applyProtection="1">
      <alignment horizontal="center" vertical="center"/>
      <protection hidden="1"/>
    </xf>
    <xf numFmtId="179" fontId="10" fillId="13" borderId="19" xfId="15" applyNumberFormat="1" applyBorder="1" applyAlignment="1" applyProtection="1">
      <alignment horizontal="center" vertical="center"/>
      <protection hidden="1"/>
    </xf>
    <xf numFmtId="180" fontId="10" fillId="15" borderId="19" xfId="17" applyNumberFormat="1" applyBorder="1" applyAlignment="1" applyProtection="1">
      <alignment horizontal="center" vertical="center"/>
      <protection hidden="1"/>
    </xf>
    <xf numFmtId="181" fontId="10" fillId="18" borderId="19" xfId="20" applyNumberFormat="1" applyBorder="1" applyAlignment="1" applyProtection="1">
      <alignment horizontal="center" vertical="center"/>
      <protection hidden="1"/>
    </xf>
    <xf numFmtId="182" fontId="10" fillId="20" borderId="19" xfId="22" applyNumberFormat="1" applyBorder="1" applyAlignment="1" applyProtection="1">
      <alignment horizontal="center" vertical="center"/>
      <protection hidden="1"/>
    </xf>
    <xf numFmtId="183" fontId="2" fillId="2" borderId="19" xfId="2" applyNumberFormat="1" applyBorder="1" applyAlignment="1" applyProtection="1">
      <alignment horizontal="center" vertical="center"/>
      <protection hidden="1"/>
    </xf>
    <xf numFmtId="184" fontId="1" fillId="10" borderId="19" xfId="12" applyNumberFormat="1" applyBorder="1" applyAlignment="1" applyProtection="1">
      <alignment horizontal="center" vertical="center"/>
      <protection hidden="1"/>
    </xf>
    <xf numFmtId="185" fontId="1" fillId="12" borderId="19" xfId="14" applyNumberFormat="1" applyBorder="1" applyAlignment="1" applyProtection="1">
      <alignment horizontal="center" vertical="center"/>
      <protection hidden="1"/>
    </xf>
    <xf numFmtId="186" fontId="1" fillId="14" borderId="19" xfId="16" applyNumberFormat="1" applyBorder="1" applyAlignment="1" applyProtection="1">
      <alignment horizontal="center" vertical="center"/>
      <protection hidden="1"/>
    </xf>
    <xf numFmtId="187" fontId="1" fillId="17" borderId="19" xfId="19" applyNumberFormat="1" applyBorder="1" applyAlignment="1" applyProtection="1">
      <alignment horizontal="center" vertical="center"/>
      <protection hidden="1"/>
    </xf>
    <xf numFmtId="188" fontId="1" fillId="19" borderId="19" xfId="21" applyNumberFormat="1" applyBorder="1" applyAlignment="1" applyProtection="1">
      <alignment horizontal="center" vertical="center"/>
      <protection hidden="1"/>
    </xf>
    <xf numFmtId="176" fontId="1" fillId="21" borderId="10" xfId="23" applyNumberFormat="1" applyBorder="1" applyAlignment="1" applyProtection="1">
      <alignment horizontal="center" vertical="center"/>
      <protection hidden="1"/>
    </xf>
    <xf numFmtId="176" fontId="17" fillId="21" borderId="10" xfId="23" applyNumberFormat="1" applyFont="1" applyBorder="1" applyAlignment="1" applyProtection="1">
      <alignment horizontal="center" vertical="center"/>
      <protection hidden="1"/>
    </xf>
    <xf numFmtId="177" fontId="18" fillId="9" borderId="10" xfId="11" applyNumberFormat="1" applyFont="1" applyBorder="1" applyProtection="1">
      <alignment vertical="center"/>
      <protection hidden="1"/>
    </xf>
    <xf numFmtId="177" fontId="10" fillId="11" borderId="10" xfId="13" applyNumberFormat="1" applyBorder="1" applyProtection="1">
      <alignment vertical="center"/>
      <protection hidden="1"/>
    </xf>
    <xf numFmtId="177" fontId="10" fillId="13" borderId="10" xfId="15" applyNumberFormat="1" applyBorder="1" applyProtection="1">
      <alignment vertical="center"/>
      <protection hidden="1"/>
    </xf>
    <xf numFmtId="177" fontId="10" fillId="15" borderId="10" xfId="17" applyNumberFormat="1" applyBorder="1" applyProtection="1">
      <alignment vertical="center"/>
      <protection hidden="1"/>
    </xf>
    <xf numFmtId="177" fontId="10" fillId="18" borderId="10" xfId="20" applyNumberFormat="1" applyBorder="1" applyProtection="1">
      <alignment vertical="center"/>
      <protection hidden="1"/>
    </xf>
    <xf numFmtId="177" fontId="10" fillId="20" borderId="10" xfId="22" applyNumberFormat="1" applyBorder="1" applyProtection="1">
      <alignment vertical="center"/>
      <protection hidden="1"/>
    </xf>
    <xf numFmtId="177" fontId="2" fillId="2" borderId="10" xfId="2" applyNumberFormat="1" applyBorder="1" applyProtection="1">
      <alignment vertical="center"/>
      <protection hidden="1"/>
    </xf>
    <xf numFmtId="177" fontId="1" fillId="10" borderId="10" xfId="12" applyNumberFormat="1" applyBorder="1" applyProtection="1">
      <alignment vertical="center"/>
      <protection hidden="1"/>
    </xf>
    <xf numFmtId="177" fontId="1" fillId="12" borderId="10" xfId="14" applyNumberFormat="1" applyBorder="1" applyProtection="1">
      <alignment vertical="center"/>
      <protection hidden="1"/>
    </xf>
    <xf numFmtId="177" fontId="1" fillId="14" borderId="10" xfId="16" applyNumberFormat="1" applyBorder="1" applyProtection="1">
      <alignment vertical="center"/>
      <protection hidden="1"/>
    </xf>
    <xf numFmtId="177" fontId="1" fillId="17" borderId="10" xfId="19" applyNumberFormat="1" applyBorder="1" applyProtection="1">
      <alignment vertical="center"/>
      <protection hidden="1"/>
    </xf>
    <xf numFmtId="177" fontId="1" fillId="19" borderId="10" xfId="21" applyNumberFormat="1" applyBorder="1" applyProtection="1">
      <alignment vertical="center"/>
      <protection hidden="1"/>
    </xf>
    <xf numFmtId="176" fontId="17" fillId="21" borderId="7" xfId="23" applyNumberFormat="1" applyFont="1" applyBorder="1" applyAlignment="1" applyProtection="1">
      <alignment horizontal="center" vertical="center"/>
      <protection hidden="1"/>
    </xf>
    <xf numFmtId="176" fontId="17" fillId="21" borderId="9" xfId="23" applyNumberFormat="1" applyFont="1" applyBorder="1" applyAlignment="1" applyProtection="1">
      <alignment horizontal="center" vertical="center"/>
      <protection hidden="1"/>
    </xf>
    <xf numFmtId="177" fontId="18" fillId="11" borderId="10" xfId="13" applyNumberFormat="1" applyFont="1" applyBorder="1" applyProtection="1">
      <alignment vertical="center"/>
      <protection hidden="1"/>
    </xf>
    <xf numFmtId="177" fontId="19" fillId="2" borderId="14" xfId="2" applyNumberFormat="1" applyFont="1" applyBorder="1" applyProtection="1">
      <alignment vertical="center"/>
      <protection hidden="1"/>
    </xf>
    <xf numFmtId="177" fontId="17" fillId="10" borderId="10" xfId="12" applyNumberFormat="1" applyFont="1" applyBorder="1" applyProtection="1">
      <alignment vertical="center"/>
      <protection hidden="1"/>
    </xf>
    <xf numFmtId="176" fontId="17" fillId="21" borderId="8" xfId="23" applyNumberFormat="1" applyFont="1" applyBorder="1" applyAlignment="1" applyProtection="1">
      <alignment horizontal="center" vertical="center"/>
      <protection hidden="1"/>
    </xf>
    <xf numFmtId="176" fontId="17" fillId="21" borderId="20" xfId="23" applyNumberFormat="1" applyFont="1" applyBorder="1" applyAlignment="1" applyProtection="1">
      <alignment horizontal="center" vertical="center"/>
      <protection hidden="1"/>
    </xf>
    <xf numFmtId="176" fontId="17" fillId="21" borderId="21" xfId="23" applyNumberFormat="1" applyFont="1" applyBorder="1" applyAlignment="1" applyProtection="1">
      <alignment horizontal="center" vertical="center"/>
      <protection hidden="1"/>
    </xf>
    <xf numFmtId="177" fontId="19" fillId="2" borderId="18" xfId="2" applyNumberFormat="1" applyFont="1" applyBorder="1" applyProtection="1">
      <alignment vertical="center"/>
      <protection hidden="1"/>
    </xf>
    <xf numFmtId="176" fontId="17" fillId="21" borderId="14" xfId="23" applyNumberFormat="1" applyFont="1" applyBorder="1" applyAlignment="1" applyProtection="1">
      <alignment horizontal="center" vertical="center"/>
      <protection hidden="1"/>
    </xf>
    <xf numFmtId="176" fontId="17" fillId="21" borderId="18" xfId="23" applyNumberFormat="1" applyFont="1" applyBorder="1" applyAlignment="1" applyProtection="1">
      <alignment horizontal="center" vertical="center"/>
      <protection hidden="1"/>
    </xf>
    <xf numFmtId="177" fontId="18" fillId="9" borderId="22" xfId="11" applyNumberFormat="1" applyFont="1" applyBorder="1" applyProtection="1">
      <alignment vertical="center"/>
      <protection hidden="1"/>
    </xf>
    <xf numFmtId="177" fontId="18" fillId="11" borderId="22" xfId="13" applyNumberFormat="1" applyFont="1" applyBorder="1" applyProtection="1">
      <alignment vertical="center"/>
      <protection hidden="1"/>
    </xf>
    <xf numFmtId="177" fontId="10" fillId="13" borderId="22" xfId="15" applyNumberFormat="1" applyBorder="1" applyProtection="1">
      <alignment vertical="center"/>
      <protection hidden="1"/>
    </xf>
    <xf numFmtId="177" fontId="10" fillId="15" borderId="22" xfId="17" applyNumberFormat="1" applyBorder="1" applyProtection="1">
      <alignment vertical="center"/>
      <protection hidden="1"/>
    </xf>
    <xf numFmtId="177" fontId="10" fillId="18" borderId="22" xfId="20" applyNumberFormat="1" applyBorder="1" applyProtection="1">
      <alignment vertical="center"/>
      <protection hidden="1"/>
    </xf>
    <xf numFmtId="177" fontId="10" fillId="20" borderId="22" xfId="22" applyNumberFormat="1" applyBorder="1" applyProtection="1">
      <alignment vertical="center"/>
      <protection hidden="1"/>
    </xf>
    <xf numFmtId="177" fontId="17" fillId="10" borderId="22" xfId="12" applyNumberFormat="1" applyFont="1" applyBorder="1" applyProtection="1">
      <alignment vertical="center"/>
      <protection hidden="1"/>
    </xf>
    <xf numFmtId="177" fontId="1" fillId="12" borderId="22" xfId="14" applyNumberFormat="1" applyBorder="1" applyProtection="1">
      <alignment vertical="center"/>
      <protection hidden="1"/>
    </xf>
    <xf numFmtId="177" fontId="1" fillId="14" borderId="22" xfId="16" applyNumberFormat="1" applyBorder="1" applyProtection="1">
      <alignment vertical="center"/>
      <protection hidden="1"/>
    </xf>
    <xf numFmtId="177" fontId="1" fillId="17" borderId="22" xfId="19" applyNumberFormat="1" applyBorder="1" applyProtection="1">
      <alignment vertical="center"/>
      <protection hidden="1"/>
    </xf>
    <xf numFmtId="177" fontId="1" fillId="19" borderId="22" xfId="21" applyNumberFormat="1" applyBorder="1" applyProtection="1">
      <alignment vertical="center"/>
      <protection hidden="1"/>
    </xf>
    <xf numFmtId="176" fontId="17" fillId="21" borderId="19" xfId="23" applyNumberFormat="1" applyFont="1" applyBorder="1" applyAlignment="1" applyProtection="1">
      <alignment horizontal="center" vertical="center"/>
      <protection hidden="1"/>
    </xf>
    <xf numFmtId="176" fontId="10" fillId="11" borderId="19" xfId="13" applyNumberFormat="1" applyBorder="1" applyAlignment="1" applyProtection="1">
      <alignment horizontal="center" vertical="center"/>
      <protection hidden="1"/>
    </xf>
    <xf numFmtId="176" fontId="10" fillId="13" borderId="19" xfId="15" applyNumberFormat="1" applyBorder="1" applyAlignment="1" applyProtection="1">
      <alignment horizontal="center" vertical="center"/>
      <protection hidden="1"/>
    </xf>
    <xf numFmtId="176" fontId="10" fillId="15" borderId="19" xfId="17" applyNumberFormat="1" applyBorder="1" applyAlignment="1" applyProtection="1">
      <alignment horizontal="center" vertical="center"/>
      <protection hidden="1"/>
    </xf>
    <xf numFmtId="176" fontId="10" fillId="18" borderId="19" xfId="20" applyNumberFormat="1" applyBorder="1" applyAlignment="1" applyProtection="1">
      <alignment horizontal="center" vertical="center"/>
      <protection hidden="1"/>
    </xf>
    <xf numFmtId="176" fontId="10" fillId="20" borderId="19" xfId="22" applyNumberFormat="1" applyBorder="1" applyAlignment="1" applyProtection="1">
      <alignment horizontal="center" vertical="center"/>
      <protection hidden="1"/>
    </xf>
    <xf numFmtId="176" fontId="2" fillId="2" borderId="19" xfId="2" applyNumberFormat="1" applyBorder="1" applyAlignment="1" applyProtection="1">
      <alignment horizontal="center" vertical="center"/>
      <protection hidden="1"/>
    </xf>
    <xf numFmtId="176" fontId="1" fillId="10" borderId="19" xfId="12" applyNumberFormat="1" applyBorder="1" applyAlignment="1" applyProtection="1">
      <alignment horizontal="center" vertical="center"/>
      <protection hidden="1"/>
    </xf>
    <xf numFmtId="176" fontId="1" fillId="12" borderId="19" xfId="14" applyNumberFormat="1" applyBorder="1" applyAlignment="1" applyProtection="1">
      <alignment horizontal="center" vertical="center"/>
      <protection hidden="1"/>
    </xf>
    <xf numFmtId="176" fontId="1" fillId="14" borderId="19" xfId="16" applyNumberFormat="1" applyBorder="1" applyAlignment="1" applyProtection="1">
      <alignment horizontal="center" vertical="center"/>
      <protection hidden="1"/>
    </xf>
    <xf numFmtId="176" fontId="1" fillId="17" borderId="19" xfId="19" applyNumberFormat="1" applyBorder="1" applyAlignment="1" applyProtection="1">
      <alignment horizontal="center" vertical="center"/>
      <protection hidden="1"/>
    </xf>
    <xf numFmtId="176" fontId="1" fillId="19" borderId="19" xfId="21" applyNumberFormat="1" applyBorder="1" applyAlignment="1" applyProtection="1">
      <alignment horizontal="center" vertical="center"/>
      <protection hidden="1"/>
    </xf>
    <xf numFmtId="177" fontId="10" fillId="9" borderId="10" xfId="11" applyNumberFormat="1" applyBorder="1" applyProtection="1">
      <alignment vertical="center"/>
      <protection hidden="1"/>
    </xf>
    <xf numFmtId="177" fontId="18" fillId="13" borderId="10" xfId="15" applyNumberFormat="1" applyFont="1" applyBorder="1" applyProtection="1">
      <alignment vertical="center"/>
      <protection hidden="1"/>
    </xf>
    <xf numFmtId="177" fontId="18" fillId="20" borderId="10" xfId="22" applyNumberFormat="1" applyFont="1" applyBorder="1" applyProtection="1">
      <alignment vertical="center"/>
      <protection hidden="1"/>
    </xf>
    <xf numFmtId="177" fontId="19" fillId="2" borderId="10" xfId="2" applyNumberFormat="1" applyFont="1" applyBorder="1" applyProtection="1">
      <alignment vertical="center"/>
      <protection hidden="1"/>
    </xf>
    <xf numFmtId="177" fontId="17" fillId="14" borderId="10" xfId="16" applyNumberFormat="1" applyFont="1" applyBorder="1" applyProtection="1">
      <alignment vertical="center"/>
      <protection hidden="1"/>
    </xf>
    <xf numFmtId="177" fontId="17" fillId="17" borderId="10" xfId="19" applyNumberFormat="1" applyFont="1" applyBorder="1" applyProtection="1">
      <alignment vertical="center"/>
      <protection hidden="1"/>
    </xf>
    <xf numFmtId="177" fontId="17" fillId="19" borderId="10" xfId="21" applyNumberFormat="1" applyFont="1" applyBorder="1" applyProtection="1">
      <alignment vertical="center"/>
      <protection hidden="1"/>
    </xf>
    <xf numFmtId="176" fontId="0" fillId="21" borderId="14" xfId="23" applyNumberFormat="1" applyFont="1" applyBorder="1" applyAlignment="1" applyProtection="1">
      <alignment horizontal="center" vertical="center"/>
      <protection hidden="1"/>
    </xf>
    <xf numFmtId="177" fontId="10" fillId="11" borderId="14" xfId="13" applyNumberFormat="1" applyBorder="1" applyProtection="1">
      <alignment vertical="center"/>
      <protection hidden="1"/>
    </xf>
    <xf numFmtId="177" fontId="18" fillId="13" borderId="14" xfId="15" applyNumberFormat="1" applyFont="1" applyBorder="1" applyProtection="1">
      <alignment vertical="center"/>
      <protection hidden="1"/>
    </xf>
    <xf numFmtId="177" fontId="10" fillId="15" borderId="14" xfId="17" applyNumberFormat="1" applyBorder="1" applyProtection="1">
      <alignment vertical="center"/>
      <protection hidden="1"/>
    </xf>
    <xf numFmtId="177" fontId="10" fillId="18" borderId="14" xfId="20" applyNumberFormat="1" applyBorder="1" applyProtection="1">
      <alignment vertical="center"/>
      <protection hidden="1"/>
    </xf>
    <xf numFmtId="177" fontId="18" fillId="20" borderId="14" xfId="22" applyNumberFormat="1" applyFont="1" applyBorder="1" applyProtection="1">
      <alignment vertical="center"/>
      <protection hidden="1"/>
    </xf>
    <xf numFmtId="177" fontId="1" fillId="10" borderId="14" xfId="12" applyNumberFormat="1" applyBorder="1" applyProtection="1">
      <alignment vertical="center"/>
      <protection hidden="1"/>
    </xf>
    <xf numFmtId="177" fontId="1" fillId="12" borderId="14" xfId="14" applyNumberFormat="1" applyBorder="1" applyProtection="1">
      <alignment vertical="center"/>
      <protection hidden="1"/>
    </xf>
    <xf numFmtId="177" fontId="17" fillId="14" borderId="14" xfId="16" applyNumberFormat="1" applyFont="1" applyBorder="1" applyProtection="1">
      <alignment vertical="center"/>
      <protection hidden="1"/>
    </xf>
    <xf numFmtId="177" fontId="17" fillId="17" borderId="14" xfId="19" applyNumberFormat="1" applyFont="1" applyBorder="1" applyProtection="1">
      <alignment vertical="center"/>
      <protection hidden="1"/>
    </xf>
    <xf numFmtId="177" fontId="17" fillId="19" borderId="14" xfId="21" applyNumberFormat="1" applyFont="1" applyBorder="1" applyProtection="1">
      <alignment vertical="center"/>
      <protection hidden="1"/>
    </xf>
    <xf numFmtId="177" fontId="18" fillId="11" borderId="14" xfId="13" applyNumberFormat="1" applyFont="1" applyBorder="1" applyProtection="1">
      <alignment vertical="center"/>
      <protection hidden="1"/>
    </xf>
    <xf numFmtId="177" fontId="10" fillId="13" borderId="14" xfId="15" applyNumberFormat="1" applyBorder="1" applyProtection="1">
      <alignment vertical="center"/>
      <protection hidden="1"/>
    </xf>
    <xf numFmtId="177" fontId="10" fillId="20" borderId="14" xfId="22" applyNumberFormat="1" applyBorder="1" applyProtection="1">
      <alignment vertical="center"/>
      <protection hidden="1"/>
    </xf>
    <xf numFmtId="177" fontId="17" fillId="10" borderId="14" xfId="12" applyNumberFormat="1" applyFont="1" applyBorder="1" applyProtection="1">
      <alignment vertical="center"/>
      <protection hidden="1"/>
    </xf>
    <xf numFmtId="177" fontId="1" fillId="14" borderId="14" xfId="16" applyNumberFormat="1" applyBorder="1" applyProtection="1">
      <alignment vertical="center"/>
      <protection hidden="1"/>
    </xf>
    <xf numFmtId="177" fontId="1" fillId="17" borderId="14" xfId="19" applyNumberFormat="1" applyBorder="1" applyProtection="1">
      <alignment vertical="center"/>
      <protection hidden="1"/>
    </xf>
    <xf numFmtId="177" fontId="1" fillId="19" borderId="14" xfId="21" applyNumberFormat="1" applyBorder="1" applyProtection="1">
      <alignment vertical="center"/>
      <protection hidden="1"/>
    </xf>
    <xf numFmtId="192" fontId="0" fillId="0" borderId="0" xfId="0" applyNumberFormat="1" applyProtection="1">
      <alignment vertical="center"/>
      <protection hidden="1"/>
    </xf>
    <xf numFmtId="176" fontId="3" fillId="3" borderId="23" xfId="3" applyNumberFormat="1" applyBorder="1" applyAlignment="1" applyProtection="1">
      <alignment horizontal="center" vertical="center"/>
      <protection hidden="1"/>
    </xf>
    <xf numFmtId="176" fontId="20" fillId="3" borderId="23" xfId="3" applyNumberFormat="1" applyFont="1" applyBorder="1" applyAlignment="1" applyProtection="1">
      <alignment horizontal="center" vertical="center"/>
      <protection hidden="1"/>
    </xf>
    <xf numFmtId="176" fontId="20" fillId="3" borderId="0" xfId="3" applyNumberFormat="1" applyFont="1" applyBorder="1" applyAlignment="1" applyProtection="1">
      <alignment horizontal="center" vertical="center"/>
      <protection hidden="1"/>
    </xf>
    <xf numFmtId="176" fontId="10" fillId="9" borderId="7" xfId="11" applyNumberFormat="1" applyBorder="1" applyAlignment="1" applyProtection="1">
      <alignment horizontal="center" vertical="center"/>
      <protection hidden="1"/>
    </xf>
    <xf numFmtId="178" fontId="10" fillId="11" borderId="24" xfId="13" applyNumberFormat="1" applyBorder="1" applyAlignment="1" applyProtection="1">
      <alignment horizontal="center" vertical="center"/>
      <protection hidden="1"/>
    </xf>
    <xf numFmtId="179" fontId="10" fillId="13" borderId="24" xfId="15" applyNumberFormat="1" applyBorder="1" applyAlignment="1" applyProtection="1">
      <alignment horizontal="center" vertical="center"/>
      <protection hidden="1"/>
    </xf>
    <xf numFmtId="180" fontId="10" fillId="15" borderId="24" xfId="17" applyNumberFormat="1" applyBorder="1" applyAlignment="1" applyProtection="1">
      <alignment horizontal="center" vertical="center"/>
      <protection hidden="1"/>
    </xf>
    <xf numFmtId="181" fontId="10" fillId="18" borderId="24" xfId="20" applyNumberFormat="1" applyBorder="1" applyAlignment="1" applyProtection="1">
      <alignment horizontal="center" vertical="center"/>
      <protection hidden="1"/>
    </xf>
    <xf numFmtId="182" fontId="10" fillId="20" borderId="24" xfId="22" applyNumberFormat="1" applyBorder="1" applyAlignment="1" applyProtection="1">
      <alignment horizontal="center" vertical="center"/>
      <protection hidden="1"/>
    </xf>
    <xf numFmtId="183" fontId="2" fillId="2" borderId="24" xfId="2" applyNumberFormat="1" applyBorder="1" applyAlignment="1" applyProtection="1">
      <alignment horizontal="center" vertical="center"/>
      <protection hidden="1"/>
    </xf>
    <xf numFmtId="184" fontId="1" fillId="10" borderId="24" xfId="12" applyNumberFormat="1" applyBorder="1" applyAlignment="1" applyProtection="1">
      <alignment horizontal="center" vertical="center"/>
      <protection hidden="1"/>
    </xf>
    <xf numFmtId="185" fontId="1" fillId="12" borderId="24" xfId="14" applyNumberFormat="1" applyBorder="1" applyAlignment="1" applyProtection="1">
      <alignment horizontal="center" vertical="center"/>
      <protection hidden="1"/>
    </xf>
    <xf numFmtId="186" fontId="1" fillId="14" borderId="24" xfId="16" applyNumberFormat="1" applyBorder="1" applyAlignment="1" applyProtection="1">
      <alignment horizontal="center" vertical="center"/>
      <protection hidden="1"/>
    </xf>
    <xf numFmtId="187" fontId="1" fillId="17" borderId="24" xfId="19" applyNumberFormat="1" applyBorder="1" applyAlignment="1" applyProtection="1">
      <alignment horizontal="center" vertical="center"/>
      <protection hidden="1"/>
    </xf>
    <xf numFmtId="188" fontId="1" fillId="19" borderId="24" xfId="21" applyNumberFormat="1" applyBorder="1" applyAlignment="1" applyProtection="1">
      <alignment horizontal="center" vertical="center"/>
      <protection hidden="1"/>
    </xf>
    <xf numFmtId="176" fontId="0" fillId="8" borderId="14" xfId="10" applyNumberFormat="1" applyFont="1" applyBorder="1" applyProtection="1">
      <alignment vertical="center"/>
      <protection hidden="1"/>
    </xf>
    <xf numFmtId="176" fontId="7" fillId="6" borderId="14" xfId="7" applyNumberFormat="1" applyBorder="1" applyProtection="1">
      <alignment vertical="center"/>
      <protection hidden="1"/>
    </xf>
    <xf numFmtId="176" fontId="7" fillId="6" borderId="10" xfId="7" applyNumberFormat="1" applyBorder="1" applyProtection="1">
      <alignment vertical="center"/>
      <protection hidden="1"/>
    </xf>
    <xf numFmtId="176" fontId="0" fillId="8" borderId="10" xfId="10" applyNumberFormat="1" applyFont="1" applyBorder="1" applyProtection="1">
      <alignment vertical="center"/>
      <protection hidden="1"/>
    </xf>
    <xf numFmtId="176" fontId="5" fillId="5" borderId="14" xfId="5" applyNumberFormat="1" applyBorder="1" applyAlignment="1" applyProtection="1">
      <alignment horizontal="center" vertical="center"/>
      <protection hidden="1"/>
    </xf>
    <xf numFmtId="41" fontId="10" fillId="9" borderId="14" xfId="1" applyFont="1" applyFill="1" applyBorder="1" applyProtection="1">
      <alignment vertical="center"/>
      <protection hidden="1"/>
    </xf>
    <xf numFmtId="176" fontId="10" fillId="13" borderId="14" xfId="15" applyNumberFormat="1" applyBorder="1" applyProtection="1">
      <alignment vertical="center"/>
      <protection hidden="1"/>
    </xf>
    <xf numFmtId="176" fontId="10" fillId="15" borderId="14" xfId="17" applyNumberFormat="1" applyBorder="1" applyProtection="1">
      <alignment vertical="center"/>
      <protection hidden="1"/>
    </xf>
    <xf numFmtId="176" fontId="10" fillId="18" borderId="14" xfId="20" applyNumberFormat="1" applyBorder="1" applyProtection="1">
      <alignment vertical="center"/>
      <protection hidden="1"/>
    </xf>
    <xf numFmtId="176" fontId="10" fillId="20" borderId="14" xfId="22" applyNumberFormat="1" applyBorder="1" applyProtection="1">
      <alignment vertical="center"/>
      <protection hidden="1"/>
    </xf>
    <xf numFmtId="176" fontId="17" fillId="12" borderId="14" xfId="14" applyNumberFormat="1" applyFont="1" applyBorder="1" applyProtection="1">
      <alignment vertical="center"/>
      <protection hidden="1"/>
    </xf>
    <xf numFmtId="176" fontId="17" fillId="14" borderId="14" xfId="16" applyNumberFormat="1" applyFont="1" applyBorder="1" applyProtection="1">
      <alignment vertical="center"/>
      <protection hidden="1"/>
    </xf>
    <xf numFmtId="176" fontId="17" fillId="17" borderId="14" xfId="19" applyNumberFormat="1" applyFont="1" applyBorder="1" applyProtection="1">
      <alignment vertical="center"/>
      <protection hidden="1"/>
    </xf>
    <xf numFmtId="176" fontId="1" fillId="19" borderId="14" xfId="21" applyNumberFormat="1" applyBorder="1" applyProtection="1">
      <alignment vertical="center"/>
      <protection hidden="1"/>
    </xf>
    <xf numFmtId="176" fontId="21" fillId="5" borderId="14" xfId="5" applyNumberFormat="1" applyFont="1" applyBorder="1" applyAlignment="1" applyProtection="1">
      <alignment horizontal="center" vertical="center"/>
      <protection hidden="1"/>
    </xf>
    <xf numFmtId="176" fontId="3" fillId="3" borderId="14" xfId="3" applyNumberFormat="1" applyBorder="1" applyAlignment="1" applyProtection="1">
      <alignment horizontal="center" vertical="center"/>
      <protection hidden="1"/>
    </xf>
    <xf numFmtId="176" fontId="20" fillId="3" borderId="14" xfId="3" applyNumberFormat="1" applyFont="1" applyBorder="1" applyAlignment="1" applyProtection="1">
      <alignment horizontal="center" vertical="center"/>
      <protection hidden="1"/>
    </xf>
    <xf numFmtId="196" fontId="0" fillId="16" borderId="0" xfId="18" applyNumberFormat="1" applyFont="1" applyProtection="1">
      <alignment vertical="center"/>
      <protection hidden="1"/>
    </xf>
    <xf numFmtId="196" fontId="0" fillId="0" borderId="0" xfId="0" applyNumberFormat="1" applyProtection="1">
      <alignment vertical="center"/>
      <protection hidden="1"/>
    </xf>
    <xf numFmtId="196" fontId="1" fillId="16" borderId="0" xfId="18" applyNumberFormat="1" applyProtection="1">
      <alignment vertical="center"/>
      <protection hidden="1"/>
    </xf>
    <xf numFmtId="196" fontId="1" fillId="16" borderId="0" xfId="18" applyNumberFormat="1">
      <alignment vertical="center"/>
    </xf>
    <xf numFmtId="196" fontId="0" fillId="0" borderId="0" xfId="0" applyNumberFormat="1">
      <alignment vertical="center"/>
    </xf>
    <xf numFmtId="196" fontId="1" fillId="0" borderId="0" xfId="9" applyNumberFormat="1" applyFont="1" applyProtection="1">
      <alignment vertical="center"/>
      <protection hidden="1"/>
    </xf>
    <xf numFmtId="196" fontId="9" fillId="0" borderId="0" xfId="9" applyNumberFormat="1">
      <alignment vertical="center"/>
    </xf>
    <xf numFmtId="177" fontId="7" fillId="6" borderId="1" xfId="7" applyNumberFormat="1" applyProtection="1">
      <alignment vertical="center"/>
      <protection locked="0" hidden="1"/>
    </xf>
    <xf numFmtId="177" fontId="8" fillId="7" borderId="3" xfId="8" applyNumberFormat="1" applyProtection="1">
      <alignment vertical="center"/>
    </xf>
    <xf numFmtId="196" fontId="8" fillId="7" borderId="25" xfId="8" applyNumberFormat="1" applyBorder="1" applyProtection="1">
      <alignment vertical="center"/>
      <protection hidden="1"/>
    </xf>
    <xf numFmtId="176" fontId="9" fillId="0" borderId="0" xfId="9" applyNumberFormat="1" applyProtection="1">
      <alignment vertical="center"/>
      <protection hidden="1"/>
    </xf>
  </cellXfs>
  <cellStyles count="24">
    <cellStyle name="20% - 강조색4" xfId="18" builtinId="42"/>
    <cellStyle name="40% - 강조색1" xfId="12" builtinId="31"/>
    <cellStyle name="40% - 강조색2" xfId="14" builtinId="35"/>
    <cellStyle name="40% - 강조색3" xfId="16" builtinId="39"/>
    <cellStyle name="40% - 강조색4" xfId="19" builtinId="43"/>
    <cellStyle name="40% - 강조색5" xfId="21" builtinId="47"/>
    <cellStyle name="40% - 강조색6" xfId="23" builtinId="51"/>
    <cellStyle name="강조색1" xfId="11" builtinId="29"/>
    <cellStyle name="강조색2" xfId="13" builtinId="33"/>
    <cellStyle name="강조색3" xfId="15" builtinId="37"/>
    <cellStyle name="강조색4" xfId="17" builtinId="41"/>
    <cellStyle name="강조색5" xfId="20" builtinId="45"/>
    <cellStyle name="강조색6" xfId="22" builtinId="49"/>
    <cellStyle name="경고문" xfId="9" builtinId="11"/>
    <cellStyle name="계산" xfId="7" builtinId="22"/>
    <cellStyle name="나쁨" xfId="3" builtinId="27"/>
    <cellStyle name="메모" xfId="10" builtinId="10"/>
    <cellStyle name="보통" xfId="4" builtinId="28"/>
    <cellStyle name="셀 확인" xfId="8" builtinId="23"/>
    <cellStyle name="쉼표 [0]" xfId="1" builtinId="6"/>
    <cellStyle name="입력" xfId="5" builtinId="20"/>
    <cellStyle name="좋음" xfId="2" builtinId="26"/>
    <cellStyle name="출력" xfId="6" builtinId="2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928;&#44844;&#47532;/&#48148;&#46988;db/damagecalc/&#44060;&#51064;%20DC/&#54596;&#49332;&#44228;&#49328;2.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AD ME"/>
      <sheetName val="전사"/>
      <sheetName val="도적"/>
      <sheetName val="주술"/>
      <sheetName val="도사"/>
      <sheetName val="궁사"/>
      <sheetName val="천인"/>
      <sheetName val="곰"/>
      <sheetName val="거북"/>
      <sheetName val="호랑이"/>
      <sheetName val="새"/>
      <sheetName val="易도사"/>
      <sheetName val="격무기"/>
      <sheetName val="데미지계산기"/>
      <sheetName val="데미지"/>
      <sheetName val="Sheet2"/>
      <sheetName val="Sheet1"/>
      <sheetName val="Sheet3"/>
    </sheetNames>
    <sheetDataSet>
      <sheetData sheetId="0">
        <row r="3">
          <cell r="J3" t="str">
            <v>Ver.2.9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7"/>
  <sheetViews>
    <sheetView tabSelected="1" workbookViewId="0">
      <selection activeCell="P27" sqref="P27"/>
    </sheetView>
  </sheetViews>
  <sheetFormatPr defaultRowHeight="16.5"/>
  <cols>
    <col min="1" max="22" width="12.625" customWidth="1"/>
  </cols>
  <sheetData>
    <row r="1" spans="1:21" ht="17.25" thickBot="1">
      <c r="A1" s="162"/>
      <c r="B1" s="162"/>
      <c r="C1" s="1"/>
      <c r="D1" s="159">
        <v>0</v>
      </c>
      <c r="E1" s="1" t="s">
        <v>132</v>
      </c>
      <c r="F1" s="1"/>
      <c r="G1" s="1"/>
      <c r="I1" t="s">
        <v>135</v>
      </c>
      <c r="J1" s="1"/>
      <c r="K1" s="1"/>
      <c r="L1" s="1"/>
      <c r="M1" s="1"/>
      <c r="N1" s="1"/>
      <c r="O1" s="1"/>
      <c r="P1" s="162" t="s">
        <v>133</v>
      </c>
      <c r="Q1" s="162" t="s">
        <v>134</v>
      </c>
      <c r="R1" s="1"/>
      <c r="S1" s="1"/>
      <c r="T1" s="1"/>
      <c r="U1" s="1"/>
    </row>
    <row r="2" spans="1:21" ht="17.25" thickBot="1">
      <c r="A2" s="2" t="s">
        <v>0</v>
      </c>
      <c r="B2" s="3"/>
      <c r="C2" s="4"/>
      <c r="D2" s="4"/>
      <c r="E2" s="4"/>
      <c r="F2" s="4"/>
      <c r="G2" s="4"/>
      <c r="H2" s="4"/>
      <c r="I2" s="4"/>
      <c r="M2" s="1"/>
      <c r="N2" s="1"/>
      <c r="O2" s="1"/>
      <c r="P2" s="1"/>
      <c r="Q2" s="1"/>
      <c r="R2" s="1"/>
      <c r="S2" s="1"/>
      <c r="T2" s="1"/>
      <c r="U2" s="1"/>
    </row>
    <row r="3" spans="1:21" ht="18" thickTop="1" thickBot="1">
      <c r="A3" s="8" t="s">
        <v>2</v>
      </c>
      <c r="B3" s="9">
        <v>1000000</v>
      </c>
      <c r="C3" s="160">
        <f>IF(B3&lt;=10000,10000,INT(B3/100)*100)</f>
        <v>1000000</v>
      </c>
      <c r="D3" s="4"/>
      <c r="E3" s="4"/>
      <c r="F3" s="10" t="s">
        <v>3</v>
      </c>
      <c r="G3" s="11"/>
      <c r="H3" s="12"/>
      <c r="I3" s="4"/>
      <c r="J3" s="5" t="s">
        <v>1</v>
      </c>
      <c r="K3" s="6"/>
      <c r="L3" s="7"/>
      <c r="M3" s="1"/>
      <c r="N3" s="1"/>
      <c r="O3" s="1"/>
      <c r="P3" s="1"/>
      <c r="Q3" s="1"/>
      <c r="R3" s="1"/>
      <c r="S3" s="1"/>
      <c r="T3" s="1"/>
      <c r="U3" s="1"/>
    </row>
    <row r="4" spans="1:21" ht="18" thickTop="1" thickBot="1">
      <c r="A4" s="15" t="s">
        <v>6</v>
      </c>
      <c r="B4" s="16">
        <v>100</v>
      </c>
      <c r="C4" s="4"/>
      <c r="D4" s="4"/>
      <c r="E4" s="4"/>
      <c r="F4" s="17"/>
      <c r="G4" s="18"/>
      <c r="H4" s="19"/>
      <c r="I4" s="4"/>
      <c r="J4" s="13" t="s">
        <v>4</v>
      </c>
      <c r="K4" s="13" t="s">
        <v>5</v>
      </c>
      <c r="L4" s="14" t="str">
        <f>'[1]READ ME'!$J$3</f>
        <v>Ver.2.9</v>
      </c>
      <c r="M4" s="1"/>
      <c r="N4" s="1"/>
      <c r="O4" s="1"/>
      <c r="P4" s="1"/>
      <c r="Q4" s="1"/>
      <c r="R4" s="1"/>
      <c r="S4" s="1"/>
      <c r="T4" s="1"/>
      <c r="U4" s="1"/>
    </row>
    <row r="5" spans="1:21">
      <c r="A5" s="15" t="s">
        <v>7</v>
      </c>
      <c r="B5" s="16">
        <v>80</v>
      </c>
      <c r="C5" s="20" t="s">
        <v>8</v>
      </c>
      <c r="D5" s="21" t="s">
        <v>9</v>
      </c>
      <c r="E5" s="21" t="s">
        <v>10</v>
      </c>
      <c r="F5" s="21" t="s">
        <v>11</v>
      </c>
      <c r="G5" s="4"/>
      <c r="H5" s="4"/>
      <c r="I5" s="4"/>
      <c r="J5" s="4"/>
      <c r="K5" s="4"/>
      <c r="L5" s="4"/>
      <c r="M5" s="1"/>
      <c r="N5" s="1"/>
      <c r="O5" s="1"/>
      <c r="P5" s="1"/>
      <c r="Q5" s="1"/>
      <c r="R5" s="1"/>
      <c r="S5" s="1"/>
      <c r="T5" s="1"/>
      <c r="U5" s="1"/>
    </row>
    <row r="6" spans="1:21">
      <c r="A6" s="22" t="s">
        <v>12</v>
      </c>
      <c r="B6" s="23">
        <v>0</v>
      </c>
      <c r="C6" s="16">
        <v>1680000</v>
      </c>
      <c r="D6" s="24">
        <v>50</v>
      </c>
      <c r="E6" s="25">
        <f>((200+D6)/20)^2</f>
        <v>156.25</v>
      </c>
      <c r="F6" s="25">
        <f>C6*(((200+D6)/20)^2)/100</f>
        <v>2625000</v>
      </c>
      <c r="G6" s="4"/>
      <c r="H6" s="26" t="s">
        <v>13</v>
      </c>
      <c r="I6" s="27"/>
      <c r="J6" s="27"/>
      <c r="K6" s="4"/>
      <c r="L6" s="4"/>
      <c r="M6" s="1"/>
      <c r="N6" s="1"/>
      <c r="O6" s="1"/>
      <c r="P6" s="1"/>
      <c r="Q6" s="1"/>
      <c r="R6" s="1"/>
      <c r="S6" s="1"/>
      <c r="T6" s="1"/>
      <c r="U6" s="1"/>
    </row>
    <row r="7" spans="1:21">
      <c r="A7" s="28"/>
      <c r="B7" s="29">
        <f>PRODUCT(I14,0.1)</f>
        <v>100000</v>
      </c>
      <c r="C7" s="29">
        <f>PRODUCT(I14,0.1)</f>
        <v>100000</v>
      </c>
      <c r="D7" s="30">
        <f>PRODUCT(I14,0.2)</f>
        <v>200000</v>
      </c>
      <c r="E7" s="30">
        <f>PRODUCT(I14,0.2)</f>
        <v>200000</v>
      </c>
      <c r="F7" s="29">
        <f>PRODUCT(I14,0.3)</f>
        <v>300000</v>
      </c>
      <c r="G7" s="29">
        <f>PRODUCT(I14,0.3)</f>
        <v>300000</v>
      </c>
      <c r="H7" s="29">
        <f>PRODUCT(I14,0.3)</f>
        <v>300000</v>
      </c>
      <c r="I7" s="30">
        <f>PRODUCT(I14,0.4)</f>
        <v>400000</v>
      </c>
      <c r="J7" s="29">
        <f>PRODUCT(I14,0.3)</f>
        <v>300000</v>
      </c>
      <c r="K7" s="29">
        <f>PRODUCT(I14,0.3)</f>
        <v>300000</v>
      </c>
      <c r="L7" s="29">
        <f>PRODUCT(I14,0.3)</f>
        <v>300000</v>
      </c>
      <c r="M7" s="30">
        <f>PRODUCT(I14,0.2)</f>
        <v>200000</v>
      </c>
      <c r="N7" s="30">
        <f>PRODUCT(I14,0.2)</f>
        <v>200000</v>
      </c>
      <c r="O7" s="29">
        <f>PRODUCT(I14,0.1)</f>
        <v>100000</v>
      </c>
      <c r="P7" s="29">
        <f>PRODUCT(I14,0.1)</f>
        <v>100000</v>
      </c>
      <c r="Q7" s="28"/>
      <c r="R7" s="1"/>
      <c r="S7" s="1"/>
      <c r="T7" s="1"/>
      <c r="U7" s="1"/>
    </row>
    <row r="8" spans="1:21">
      <c r="A8" s="28"/>
      <c r="B8" s="29">
        <f>PRODUCT(I14,0.1)</f>
        <v>100000</v>
      </c>
      <c r="C8" s="30">
        <f>PRODUCT(I14,0.2)</f>
        <v>200000</v>
      </c>
      <c r="D8" s="29">
        <f>PRODUCT(I14,0.3)</f>
        <v>300000</v>
      </c>
      <c r="E8" s="29">
        <f>PRODUCT(I14,0.3)</f>
        <v>300000</v>
      </c>
      <c r="F8" s="30">
        <f>PRODUCT(I14,0.4)</f>
        <v>400000</v>
      </c>
      <c r="G8" s="30">
        <f>PRODUCT(I14,0.4)</f>
        <v>400000</v>
      </c>
      <c r="H8" s="30">
        <f>PRODUCT(I14,0.4)</f>
        <v>400000</v>
      </c>
      <c r="I8" s="29">
        <f>PRODUCT(I14,0.5)</f>
        <v>500000</v>
      </c>
      <c r="J8" s="30">
        <f>PRODUCT(I14,0.4)</f>
        <v>400000</v>
      </c>
      <c r="K8" s="30">
        <f>PRODUCT(I14,0.4)</f>
        <v>400000</v>
      </c>
      <c r="L8" s="30">
        <f>PRODUCT(I14,0.4)</f>
        <v>400000</v>
      </c>
      <c r="M8" s="29">
        <f>PRODUCT(I14,0.3)</f>
        <v>300000</v>
      </c>
      <c r="N8" s="29">
        <f>PRODUCT(I14,0.3)</f>
        <v>300000</v>
      </c>
      <c r="O8" s="30">
        <f>PRODUCT(I14,0.2)</f>
        <v>200000</v>
      </c>
      <c r="P8" s="29">
        <f>PRODUCT(I14,0.1)</f>
        <v>100000</v>
      </c>
      <c r="Q8" s="28"/>
      <c r="R8" s="1"/>
      <c r="S8" s="1"/>
      <c r="T8" s="1"/>
      <c r="U8" s="1"/>
    </row>
    <row r="9" spans="1:21">
      <c r="A9" s="28"/>
      <c r="B9" s="30">
        <f>PRODUCT(I14,0.2)</f>
        <v>200000</v>
      </c>
      <c r="C9" s="29">
        <f>PRODUCT(I14,0.3)</f>
        <v>300000</v>
      </c>
      <c r="D9" s="29">
        <f>PRODUCT(I14,0.3)</f>
        <v>300000</v>
      </c>
      <c r="E9" s="30">
        <f>PRODUCT(I14,0.4)</f>
        <v>400000</v>
      </c>
      <c r="F9" s="29">
        <f>PRODUCT(I14,0.3)</f>
        <v>300000</v>
      </c>
      <c r="G9" s="29">
        <f>PRODUCT(I14,0.5)</f>
        <v>500000</v>
      </c>
      <c r="H9" s="29">
        <f>PRODUCT(I14,0.5)</f>
        <v>500000</v>
      </c>
      <c r="I9" s="30">
        <f>PRODUCT(I14,0.6)</f>
        <v>600000</v>
      </c>
      <c r="J9" s="29">
        <f>PRODUCT(I14,0.5)</f>
        <v>500000</v>
      </c>
      <c r="K9" s="29">
        <f>PRODUCT(I14,0.5)</f>
        <v>500000</v>
      </c>
      <c r="L9" s="29">
        <f>PRODUCT(I14,0.5)</f>
        <v>500000</v>
      </c>
      <c r="M9" s="30">
        <f>PRODUCT(I14,0.4)</f>
        <v>400000</v>
      </c>
      <c r="N9" s="29">
        <f>PRODUCT(I14,0.3)</f>
        <v>300000</v>
      </c>
      <c r="O9" s="29">
        <f>PRODUCT(I14,0.3)</f>
        <v>300000</v>
      </c>
      <c r="P9" s="30">
        <f>PRODUCT(I14,0.2)</f>
        <v>200000</v>
      </c>
      <c r="Q9" s="28"/>
      <c r="R9" s="1"/>
      <c r="S9" s="1"/>
      <c r="T9" s="1"/>
      <c r="U9" s="1"/>
    </row>
    <row r="10" spans="1:21">
      <c r="A10" s="28"/>
      <c r="B10" s="30">
        <f>PRODUCT(I14,0.2)</f>
        <v>200000</v>
      </c>
      <c r="C10" s="29">
        <f>PRODUCT(I14,0.3)</f>
        <v>300000</v>
      </c>
      <c r="D10" s="30">
        <f>PRODUCT(I14,0.4)</f>
        <v>400000</v>
      </c>
      <c r="E10" s="29">
        <f>PRODUCT(I14,0.5)</f>
        <v>500000</v>
      </c>
      <c r="F10" s="30">
        <f>PRODUCT(I14,0.6)</f>
        <v>600000</v>
      </c>
      <c r="G10" s="30">
        <f>PRODUCT(I14,0.6)</f>
        <v>600000</v>
      </c>
      <c r="H10" s="30">
        <f>PRODUCT(I14,0.6)</f>
        <v>600000</v>
      </c>
      <c r="I10" s="29">
        <f>PRODUCT(I14,0.7)</f>
        <v>700000</v>
      </c>
      <c r="J10" s="30">
        <f>PRODUCT(I14,0.6)</f>
        <v>600000</v>
      </c>
      <c r="K10" s="30">
        <f>PRODUCT(I14,0.6)</f>
        <v>600000</v>
      </c>
      <c r="L10" s="30">
        <f>PRODUCT(I14,0.6)</f>
        <v>600000</v>
      </c>
      <c r="M10" s="29">
        <f>PRODUCT(I14,0.5)</f>
        <v>500000</v>
      </c>
      <c r="N10" s="30">
        <f>PRODUCT(I14,0.4)</f>
        <v>400000</v>
      </c>
      <c r="O10" s="29">
        <f>PRODUCT(I14,0.3)</f>
        <v>300000</v>
      </c>
      <c r="P10" s="30">
        <f>PRODUCT(I14,0.2)</f>
        <v>200000</v>
      </c>
      <c r="Q10" s="28"/>
      <c r="R10" s="1"/>
      <c r="S10" s="1"/>
      <c r="T10" s="1"/>
      <c r="U10" s="1"/>
    </row>
    <row r="11" spans="1:21">
      <c r="A11" s="28" t="s">
        <v>14</v>
      </c>
      <c r="B11" s="29">
        <f>PRODUCT(I14,0.3)</f>
        <v>300000</v>
      </c>
      <c r="C11" s="30">
        <f>PRODUCT(I14,0.4)</f>
        <v>400000</v>
      </c>
      <c r="D11" s="29">
        <f>PRODUCT(I14,0.35)</f>
        <v>350000</v>
      </c>
      <c r="E11" s="30">
        <f>PRODUCT(I14,0.6)</f>
        <v>600000</v>
      </c>
      <c r="F11" s="30">
        <f>PRODUCT(I14,0.6)</f>
        <v>600000</v>
      </c>
      <c r="G11" s="29">
        <f>PRODUCT(I14,0.7)</f>
        <v>700000</v>
      </c>
      <c r="H11" s="29">
        <f>PRODUCT(I14,0.7)</f>
        <v>700000</v>
      </c>
      <c r="I11" s="30">
        <f>PRODUCT(I14,0.8)</f>
        <v>800000</v>
      </c>
      <c r="J11" s="29">
        <f>PRODUCT(I14,0.7)</f>
        <v>700000</v>
      </c>
      <c r="K11" s="29">
        <f>PRODUCT(I14,0.7)</f>
        <v>700000</v>
      </c>
      <c r="L11" s="30">
        <f>PRODUCT(I14,0.6)</f>
        <v>600000</v>
      </c>
      <c r="M11" s="30">
        <f>PRODUCT(I14,0.6)</f>
        <v>600000</v>
      </c>
      <c r="N11" s="29">
        <f>PRODUCT(I14,0.5)</f>
        <v>500000</v>
      </c>
      <c r="O11" s="30">
        <f>PRODUCT(I14,0.4)</f>
        <v>400000</v>
      </c>
      <c r="P11" s="29">
        <f>PRODUCT(I14,0.3)</f>
        <v>300000</v>
      </c>
      <c r="Q11" s="28" t="s">
        <v>14</v>
      </c>
      <c r="R11" s="1"/>
      <c r="S11" s="1"/>
      <c r="T11" s="1"/>
      <c r="U11" s="1"/>
    </row>
    <row r="12" spans="1:21">
      <c r="A12" s="28"/>
      <c r="B12" s="29">
        <f>PRODUCT(I14,0.3)</f>
        <v>300000</v>
      </c>
      <c r="C12" s="30">
        <f>PRODUCT(I14,0.4)</f>
        <v>400000</v>
      </c>
      <c r="D12" s="29">
        <f>PRODUCT(I14,0.4)</f>
        <v>400000</v>
      </c>
      <c r="E12" s="30">
        <f>PRODUCT(I14,0.6)</f>
        <v>600000</v>
      </c>
      <c r="F12" s="29">
        <f>PRODUCT(I14,0.7)</f>
        <v>700000</v>
      </c>
      <c r="G12" s="30">
        <f>PRODUCT(I14,0.8)</f>
        <v>800000</v>
      </c>
      <c r="H12" s="30">
        <f>PRODUCT(I14,0.8)</f>
        <v>800000</v>
      </c>
      <c r="I12" s="29">
        <f>PRODUCT(I14,0.9)</f>
        <v>900000</v>
      </c>
      <c r="J12" s="30">
        <f>PRODUCT(I14,0.8)</f>
        <v>800000</v>
      </c>
      <c r="K12" s="30">
        <f>PRODUCT(I14,0.8)</f>
        <v>800000</v>
      </c>
      <c r="L12" s="29">
        <f>PRODUCT(I14,0.7)</f>
        <v>700000</v>
      </c>
      <c r="M12" s="30">
        <f>PRODUCT(I14,0.6)</f>
        <v>600000</v>
      </c>
      <c r="N12" s="29">
        <f>PRODUCT(I14,0.5)</f>
        <v>500000</v>
      </c>
      <c r="O12" s="30">
        <f>PRODUCT(I14,0.3)</f>
        <v>300000</v>
      </c>
      <c r="P12" s="29">
        <f>PRODUCT(I14,0.3)</f>
        <v>300000</v>
      </c>
      <c r="Q12" s="28"/>
      <c r="R12" s="1"/>
      <c r="S12" s="1"/>
      <c r="T12" s="1"/>
      <c r="U12" s="1"/>
    </row>
    <row r="13" spans="1:21">
      <c r="A13" s="28" t="s">
        <v>15</v>
      </c>
      <c r="B13" s="29">
        <f>PRODUCT(I14,0.3)</f>
        <v>300000</v>
      </c>
      <c r="C13" s="30">
        <f>PRODUCT(I14,0.4)</f>
        <v>400000</v>
      </c>
      <c r="D13" s="29">
        <f>PRODUCT(I14,0.5)</f>
        <v>500000</v>
      </c>
      <c r="E13" s="30">
        <f>PRODUCT(I14,0.6)</f>
        <v>600000</v>
      </c>
      <c r="F13" s="29">
        <f>PRODUCT(I14,0.7)</f>
        <v>700000</v>
      </c>
      <c r="G13" s="30">
        <f>PRODUCT(I14,0.8)</f>
        <v>800000</v>
      </c>
      <c r="H13" s="29">
        <f>PRODUCT(I14,0.9)</f>
        <v>900000</v>
      </c>
      <c r="I13" s="30">
        <f>PRODUCT(I14,1)</f>
        <v>1000000</v>
      </c>
      <c r="J13" s="29">
        <f>PRODUCT(I14,0.9)</f>
        <v>900000</v>
      </c>
      <c r="K13" s="30">
        <f>PRODUCT(I14,0.8)</f>
        <v>800000</v>
      </c>
      <c r="L13" s="29">
        <f>PRODUCT(I14,0.7)</f>
        <v>700000</v>
      </c>
      <c r="M13" s="30">
        <f>PRODUCT(I14,0.6)</f>
        <v>600000</v>
      </c>
      <c r="N13" s="29">
        <f>PRODUCT(I14,0.5)</f>
        <v>500000</v>
      </c>
      <c r="O13" s="30">
        <f>PRODUCT(I14,0.4)</f>
        <v>400000</v>
      </c>
      <c r="P13" s="29">
        <f>PRODUCT(I14,0.3)</f>
        <v>300000</v>
      </c>
      <c r="Q13" s="28" t="s">
        <v>15</v>
      </c>
      <c r="R13" s="1"/>
      <c r="S13" s="1"/>
      <c r="T13" s="1"/>
      <c r="U13" s="1"/>
    </row>
    <row r="14" spans="1:21">
      <c r="A14" s="28"/>
      <c r="B14" s="30">
        <f>PRODUCT(I14,0.4)</f>
        <v>400000</v>
      </c>
      <c r="C14" s="29">
        <f>PRODUCT(I14,0.5)</f>
        <v>500000</v>
      </c>
      <c r="D14" s="30">
        <f>PRODUCT(I14,0.6)</f>
        <v>600000</v>
      </c>
      <c r="E14" s="29">
        <f>PRODUCT(I14,0.7)</f>
        <v>700000</v>
      </c>
      <c r="F14" s="30">
        <f>PRODUCT(I14,0.8)</f>
        <v>800000</v>
      </c>
      <c r="G14" s="29">
        <f>PRODUCT(I14,0.9)</f>
        <v>900000</v>
      </c>
      <c r="H14" s="30">
        <f>PRODUCT(I14,1)</f>
        <v>1000000</v>
      </c>
      <c r="I14" s="31">
        <f>PRODUCT(C$3,1,(((200+B6)/20)^2)/100)</f>
        <v>1000000</v>
      </c>
      <c r="J14" s="30">
        <f>PRODUCT(I14,1)</f>
        <v>1000000</v>
      </c>
      <c r="K14" s="29">
        <f>PRODUCT(I14,0.9)</f>
        <v>900000</v>
      </c>
      <c r="L14" s="30">
        <f>PRODUCT(I14,0.8)</f>
        <v>800000</v>
      </c>
      <c r="M14" s="29">
        <f>PRODUCT(I14,0.7)</f>
        <v>700000</v>
      </c>
      <c r="N14" s="30">
        <f>PRODUCT(I14,0.6)</f>
        <v>600000</v>
      </c>
      <c r="O14" s="29">
        <f>PRODUCT(I14,0.5)</f>
        <v>500000</v>
      </c>
      <c r="P14" s="30">
        <f>PRODUCT(I14,0.4)</f>
        <v>400000</v>
      </c>
      <c r="Q14" s="28"/>
      <c r="R14" s="1"/>
      <c r="S14" s="1"/>
      <c r="T14" s="1"/>
      <c r="U14" s="1"/>
    </row>
    <row r="15" spans="1:21">
      <c r="A15" s="28" t="s">
        <v>16</v>
      </c>
      <c r="B15" s="29">
        <f>PRODUCT(I14,0.3)</f>
        <v>300000</v>
      </c>
      <c r="C15" s="30">
        <f>PRODUCT(I14,0.4)</f>
        <v>400000</v>
      </c>
      <c r="D15" s="29">
        <f>PRODUCT(I14,0.5)</f>
        <v>500000</v>
      </c>
      <c r="E15" s="30">
        <f>PRODUCT(I14,0.6)</f>
        <v>600000</v>
      </c>
      <c r="F15" s="29">
        <f>PRODUCT(I14,0.7)</f>
        <v>700000</v>
      </c>
      <c r="G15" s="30">
        <f>PRODUCT(I14,0.8)</f>
        <v>800000</v>
      </c>
      <c r="H15" s="29">
        <f>PRODUCT(I14,0.9)</f>
        <v>900000</v>
      </c>
      <c r="I15" s="30">
        <f>PRODUCT(I14,1)</f>
        <v>1000000</v>
      </c>
      <c r="J15" s="29">
        <f>PRODUCT(I14,0.9)</f>
        <v>900000</v>
      </c>
      <c r="K15" s="30">
        <f>PRODUCT(I14,0.8)</f>
        <v>800000</v>
      </c>
      <c r="L15" s="29">
        <f>PRODUCT(I14,0.7)</f>
        <v>700000</v>
      </c>
      <c r="M15" s="30">
        <f>PRODUCT(I14,0.6)</f>
        <v>600000</v>
      </c>
      <c r="N15" s="29">
        <f>PRODUCT(I14,0.5)</f>
        <v>500000</v>
      </c>
      <c r="O15" s="30">
        <f>PRODUCT(I14,0.4)</f>
        <v>400000</v>
      </c>
      <c r="P15" s="29">
        <f>PRODUCT(I14,0.3)</f>
        <v>300000</v>
      </c>
      <c r="Q15" s="28" t="s">
        <v>11</v>
      </c>
      <c r="R15" s="1"/>
      <c r="S15" s="1"/>
      <c r="T15" s="1"/>
      <c r="U15" s="1"/>
    </row>
    <row r="16" spans="1:21">
      <c r="A16" s="28"/>
      <c r="B16" s="29">
        <f>PRODUCT(I14,0.3)</f>
        <v>300000</v>
      </c>
      <c r="C16" s="30">
        <f>PRODUCT(I14,0.4)</f>
        <v>400000</v>
      </c>
      <c r="D16" s="29">
        <f>PRODUCT(I14,0.5)</f>
        <v>500000</v>
      </c>
      <c r="E16" s="30">
        <f>PRODUCT(I14,0.6)</f>
        <v>600000</v>
      </c>
      <c r="F16" s="29">
        <f>PRODUCT(I14,0.7)</f>
        <v>700000</v>
      </c>
      <c r="G16" s="30">
        <f>PRODUCT(I14,0.8)</f>
        <v>800000</v>
      </c>
      <c r="H16" s="30">
        <f>PRODUCT(I14,0.8)</f>
        <v>800000</v>
      </c>
      <c r="I16" s="29">
        <f>PRODUCT(I14,0.9)</f>
        <v>900000</v>
      </c>
      <c r="J16" s="30">
        <f>PRODUCT(I14,0.8)</f>
        <v>800000</v>
      </c>
      <c r="K16" s="30">
        <f>PRODUCT(I14,0.8)</f>
        <v>800000</v>
      </c>
      <c r="L16" s="29">
        <f>PRODUCT(I14,0.7)</f>
        <v>700000</v>
      </c>
      <c r="M16" s="30">
        <f>PRODUCT(I14,0.6)</f>
        <v>600000</v>
      </c>
      <c r="N16" s="29">
        <f>PRODUCT(I14,0.5)</f>
        <v>500000</v>
      </c>
      <c r="O16" s="30">
        <f>PRODUCT(I14,0.4)</f>
        <v>400000</v>
      </c>
      <c r="P16" s="29">
        <f>PRODUCT(I14,0.3)</f>
        <v>300000</v>
      </c>
      <c r="Q16" s="28"/>
      <c r="R16" s="1"/>
      <c r="S16" s="1"/>
      <c r="T16" s="1"/>
      <c r="U16" s="1"/>
    </row>
    <row r="17" spans="1:21">
      <c r="A17" s="28" t="s">
        <v>17</v>
      </c>
      <c r="B17" s="29">
        <f>PRODUCT(I14,0.3)</f>
        <v>300000</v>
      </c>
      <c r="C17" s="30">
        <f>PRODUCT(I14,0.4)</f>
        <v>400000</v>
      </c>
      <c r="D17" s="29">
        <f>PRODUCT(I14,0.5)</f>
        <v>500000</v>
      </c>
      <c r="E17" s="30">
        <f>PRODUCT(I14,0.6)</f>
        <v>600000</v>
      </c>
      <c r="F17" s="30">
        <f>PRODUCT(I14,0.6)</f>
        <v>600000</v>
      </c>
      <c r="G17" s="29">
        <f>PRODUCT(I14,0.7)</f>
        <v>700000</v>
      </c>
      <c r="H17" s="29">
        <f>PRODUCT(I14,0.7)</f>
        <v>700000</v>
      </c>
      <c r="I17" s="30">
        <f>PRODUCT(I14,0.8)</f>
        <v>800000</v>
      </c>
      <c r="J17" s="29">
        <f>PRODUCT(I14,0.7)</f>
        <v>700000</v>
      </c>
      <c r="K17" s="29">
        <f>PRODUCT(I14,0.7)</f>
        <v>700000</v>
      </c>
      <c r="L17" s="30">
        <f>PRODUCT(I14,0.6)</f>
        <v>600000</v>
      </c>
      <c r="M17" s="30">
        <f>PRODUCT(I14,0.6)</f>
        <v>600000</v>
      </c>
      <c r="N17" s="29">
        <f>PRODUCT(I14,0.5)</f>
        <v>500000</v>
      </c>
      <c r="O17" s="30">
        <f>PRODUCT(I14,0.4)</f>
        <v>400000</v>
      </c>
      <c r="P17" s="29">
        <f>PRODUCT(I14,0.3)</f>
        <v>300000</v>
      </c>
      <c r="Q17" s="28" t="s">
        <v>17</v>
      </c>
      <c r="R17" s="1"/>
      <c r="S17" s="1"/>
      <c r="T17" s="1"/>
      <c r="U17" s="1"/>
    </row>
    <row r="18" spans="1:21">
      <c r="A18" s="28"/>
      <c r="B18" s="30">
        <f>PRODUCT(I14,0.2)</f>
        <v>200000</v>
      </c>
      <c r="C18" s="29">
        <f>PRODUCT(I14,0.3)</f>
        <v>300000</v>
      </c>
      <c r="D18" s="30">
        <f>PRODUCT(I14,0.4)</f>
        <v>400000</v>
      </c>
      <c r="E18" s="29">
        <f>PRODUCT(I14,0.5)</f>
        <v>500000</v>
      </c>
      <c r="F18" s="30">
        <f>PRODUCT(I14,0.6)</f>
        <v>600000</v>
      </c>
      <c r="G18" s="30">
        <f>PRODUCT(I14,0.6)</f>
        <v>600000</v>
      </c>
      <c r="H18" s="30">
        <f>PRODUCT(I14,0.6)</f>
        <v>600000</v>
      </c>
      <c r="I18" s="29">
        <f>PRODUCT(I14,0.7)</f>
        <v>700000</v>
      </c>
      <c r="J18" s="30">
        <f>PRODUCT(I14,0.6)</f>
        <v>600000</v>
      </c>
      <c r="K18" s="30">
        <f>PRODUCT(I14,0.6)</f>
        <v>600000</v>
      </c>
      <c r="L18" s="30">
        <f>PRODUCT(I14,0.6)</f>
        <v>600000</v>
      </c>
      <c r="M18" s="29">
        <f>PRODUCT(I14,0.5)</f>
        <v>500000</v>
      </c>
      <c r="N18" s="30">
        <f>PRODUCT(I14,0.4)</f>
        <v>400000</v>
      </c>
      <c r="O18" s="29">
        <f>PRODUCT(I14,0.3)</f>
        <v>300000</v>
      </c>
      <c r="P18" s="30">
        <f>PRODUCT(I14,0.2)</f>
        <v>200000</v>
      </c>
      <c r="Q18" s="28"/>
      <c r="R18" s="1"/>
      <c r="S18" s="1"/>
      <c r="T18" s="1"/>
      <c r="U18" s="1"/>
    </row>
    <row r="19" spans="1:21">
      <c r="A19" s="28"/>
      <c r="B19" s="30">
        <f>PRODUCT(I14,0.2)</f>
        <v>200000</v>
      </c>
      <c r="C19" s="30">
        <f>PRODUCT(I14,0.2)</f>
        <v>200000</v>
      </c>
      <c r="D19" s="29">
        <f>PRODUCT(I14,0.3)</f>
        <v>300000</v>
      </c>
      <c r="E19" s="30">
        <f>PRODUCT(I14,0.4)</f>
        <v>400000</v>
      </c>
      <c r="F19" s="29">
        <f>PRODUCT(I14,0.3)</f>
        <v>300000</v>
      </c>
      <c r="G19" s="29">
        <f>PRODUCT(I14,0.4)</f>
        <v>400000</v>
      </c>
      <c r="H19" s="29">
        <f>PRODUCT(I14,0.5)</f>
        <v>500000</v>
      </c>
      <c r="I19" s="30">
        <f>PRODUCT(I14,0.6)</f>
        <v>600000</v>
      </c>
      <c r="J19" s="29">
        <f>PRODUCT(I14,0.5)</f>
        <v>500000</v>
      </c>
      <c r="K19" s="29">
        <f>PRODUCT(I14,0.5)</f>
        <v>500000</v>
      </c>
      <c r="L19" s="29">
        <f>PRODUCT(I14,0.5)</f>
        <v>500000</v>
      </c>
      <c r="M19" s="30">
        <f>PRODUCT(I14,0.4)</f>
        <v>400000</v>
      </c>
      <c r="N19" s="29">
        <f>PRODUCT(I14,0.3)</f>
        <v>300000</v>
      </c>
      <c r="O19" s="29">
        <f>PRODUCT(I14,0.3)</f>
        <v>300000</v>
      </c>
      <c r="P19" s="30">
        <f>PRODUCT(I14,0.2)</f>
        <v>200000</v>
      </c>
      <c r="Q19" s="28"/>
      <c r="R19" s="1"/>
      <c r="S19" s="1"/>
      <c r="T19" s="1"/>
      <c r="U19" s="1"/>
    </row>
    <row r="20" spans="1:21">
      <c r="A20" s="28"/>
      <c r="B20" s="29">
        <f>PRODUCT(I14,0.1)</f>
        <v>100000</v>
      </c>
      <c r="C20" s="30">
        <f>PRODUCT(I14,0.2)</f>
        <v>200000</v>
      </c>
      <c r="D20" s="29">
        <f>PRODUCT(I14,0.3)</f>
        <v>300000</v>
      </c>
      <c r="E20" s="29">
        <f>PRODUCT(I14,0.3)</f>
        <v>300000</v>
      </c>
      <c r="F20" s="30">
        <f>PRODUCT(I14,0.4)</f>
        <v>400000</v>
      </c>
      <c r="G20" s="30">
        <f>PRODUCT(I14,0.4)</f>
        <v>400000</v>
      </c>
      <c r="H20" s="30">
        <f>PRODUCT(I14,0.4)</f>
        <v>400000</v>
      </c>
      <c r="I20" s="29">
        <f>PRODUCT(I14,0.5)</f>
        <v>500000</v>
      </c>
      <c r="J20" s="30">
        <f>PRODUCT(I14,0.4)</f>
        <v>400000</v>
      </c>
      <c r="K20" s="30">
        <f>PRODUCT(I14,0.4)</f>
        <v>400000</v>
      </c>
      <c r="L20" s="30">
        <f>PRODUCT(I14,0.4)</f>
        <v>400000</v>
      </c>
      <c r="M20" s="29">
        <f>PRODUCT(I14,0.3)</f>
        <v>300000</v>
      </c>
      <c r="N20" s="29">
        <f>PRODUCT(I14,0.3)</f>
        <v>300000</v>
      </c>
      <c r="O20" s="30">
        <f>PRODUCT(I14,0.2)</f>
        <v>200000</v>
      </c>
      <c r="P20" s="29">
        <f>PRODUCT(I14,0.1)</f>
        <v>100000</v>
      </c>
      <c r="Q20" s="28"/>
      <c r="R20" s="1"/>
      <c r="S20" s="1"/>
      <c r="T20" s="1"/>
      <c r="U20" s="1"/>
    </row>
    <row r="21" spans="1:21">
      <c r="A21" s="28"/>
      <c r="B21" s="29">
        <f>PRODUCT(I14,0.1)</f>
        <v>100000</v>
      </c>
      <c r="C21" s="29">
        <f>PRODUCT(I14,0.1)</f>
        <v>100000</v>
      </c>
      <c r="D21" s="30">
        <f>PRODUCT(I14,0.2)</f>
        <v>200000</v>
      </c>
      <c r="E21" s="30">
        <f>PRODUCT(I14,0.2)</f>
        <v>200000</v>
      </c>
      <c r="F21" s="29">
        <f>PRODUCT(I14,0.3)</f>
        <v>300000</v>
      </c>
      <c r="G21" s="29">
        <f>PRODUCT(I14,0.3)</f>
        <v>300000</v>
      </c>
      <c r="H21" s="29">
        <f>PRODUCT(I14,0.3)</f>
        <v>300000</v>
      </c>
      <c r="I21" s="30">
        <f>PRODUCT(I14,0.4)</f>
        <v>400000</v>
      </c>
      <c r="J21" s="29">
        <f>PRODUCT(I14,0.3)</f>
        <v>300000</v>
      </c>
      <c r="K21" s="29">
        <f>PRODUCT(I14,0.3)</f>
        <v>300000</v>
      </c>
      <c r="L21" s="29">
        <f>PRODUCT(I14,0.3)</f>
        <v>300000</v>
      </c>
      <c r="M21" s="30">
        <f>PRODUCT(I14,0.2)</f>
        <v>200000</v>
      </c>
      <c r="N21" s="30">
        <f>PRODUCT(I14,0.2)</f>
        <v>200000</v>
      </c>
      <c r="O21" s="29">
        <f>PRODUCT(I14,0.1)</f>
        <v>100000</v>
      </c>
      <c r="P21" s="29">
        <f>PRODUCT(I14,0.1)</f>
        <v>100000</v>
      </c>
      <c r="Q21" s="28"/>
      <c r="R21" s="1"/>
      <c r="S21" s="1"/>
      <c r="T21" s="1"/>
      <c r="U21" s="1"/>
    </row>
    <row r="22" spans="1:21">
      <c r="Q22" s="1"/>
      <c r="R22" s="1"/>
      <c r="S22" s="1"/>
      <c r="T22" s="1"/>
      <c r="U22" s="1"/>
    </row>
    <row r="23" spans="1:21" ht="17.25" thickBot="1">
      <c r="P23" s="1"/>
      <c r="Q23" s="1"/>
      <c r="R23" s="1"/>
      <c r="S23" s="1"/>
      <c r="T23" s="1"/>
      <c r="U23" s="1"/>
    </row>
    <row r="24" spans="1:21" ht="17.25" thickBot="1">
      <c r="A24" s="32" t="s">
        <v>18</v>
      </c>
      <c r="B24" s="33"/>
      <c r="C24" s="34" t="s">
        <v>11</v>
      </c>
      <c r="D24" s="35">
        <v>2150</v>
      </c>
      <c r="E24" s="36">
        <v>9244</v>
      </c>
      <c r="F24" s="37">
        <v>36500</v>
      </c>
      <c r="G24" s="38">
        <v>105180</v>
      </c>
      <c r="H24" s="39">
        <v>251600</v>
      </c>
      <c r="I24" s="40">
        <v>1.5</v>
      </c>
      <c r="J24" s="41">
        <v>1.66666</v>
      </c>
      <c r="K24" s="42">
        <v>2</v>
      </c>
      <c r="L24" s="43">
        <v>2.3333300000000001</v>
      </c>
      <c r="M24" s="44">
        <v>2.6666599999999998</v>
      </c>
      <c r="N24" s="45">
        <v>3.3333300000000001</v>
      </c>
      <c r="O24" s="152" t="s">
        <v>19</v>
      </c>
      <c r="P24" s="152" t="s">
        <v>20</v>
      </c>
      <c r="Q24" s="152" t="s">
        <v>21</v>
      </c>
      <c r="R24" s="152" t="s">
        <v>22</v>
      </c>
      <c r="S24" s="153"/>
      <c r="T24" s="153"/>
      <c r="U24" s="153"/>
    </row>
    <row r="25" spans="1:21">
      <c r="A25" s="46" t="s">
        <v>23</v>
      </c>
      <c r="B25" s="47"/>
      <c r="C25" s="48">
        <f t="shared" ref="C25:C63" si="0">PRODUCT($C$3,$O25,((200+$B$6)/20)^2)/100</f>
        <v>3000000</v>
      </c>
      <c r="D25" s="49">
        <f t="shared" ref="D25:D63" si="1">IF(0=C$3,0,SUM(D$24,PRODUCT(C25,J$24)))</f>
        <v>5002130</v>
      </c>
      <c r="E25" s="50">
        <f t="shared" ref="E25:H63" si="2">IF(0=$C$3,0,SUM(E$24,PRODUCT($C25,K$24)))</f>
        <v>6009244</v>
      </c>
      <c r="F25" s="51">
        <f t="shared" si="2"/>
        <v>7036490</v>
      </c>
      <c r="G25" s="52">
        <f t="shared" si="2"/>
        <v>8105159.9999999991</v>
      </c>
      <c r="H25" s="53">
        <f t="shared" si="2"/>
        <v>10251590</v>
      </c>
      <c r="I25" s="54">
        <f>PRODUCT(C25,1.5)</f>
        <v>4500000</v>
      </c>
      <c r="J25" s="55">
        <f t="shared" ref="J25:N63" si="3">IF($C$3=0,0,SUM(D$24,PRODUCT($C25,J$24,$I$24)))</f>
        <v>7502120</v>
      </c>
      <c r="K25" s="56">
        <f t="shared" si="3"/>
        <v>9009244</v>
      </c>
      <c r="L25" s="57">
        <f t="shared" si="3"/>
        <v>10536485</v>
      </c>
      <c r="M25" s="58">
        <f t="shared" si="3"/>
        <v>12105149.999999998</v>
      </c>
      <c r="N25" s="59">
        <f t="shared" si="3"/>
        <v>15251585</v>
      </c>
      <c r="O25" s="154">
        <f>(1/2*6)</f>
        <v>3</v>
      </c>
      <c r="P25" s="154">
        <v>135</v>
      </c>
      <c r="Q25" s="154">
        <v>30</v>
      </c>
      <c r="R25" s="154">
        <f>P25/Q25</f>
        <v>4.5</v>
      </c>
      <c r="S25" s="153"/>
      <c r="T25" s="153"/>
      <c r="U25" s="153"/>
    </row>
    <row r="26" spans="1:21">
      <c r="A26" s="60" t="s">
        <v>24</v>
      </c>
      <c r="B26" s="61"/>
      <c r="C26" s="48">
        <f t="shared" si="0"/>
        <v>3000000</v>
      </c>
      <c r="D26" s="62">
        <f t="shared" si="1"/>
        <v>5002130</v>
      </c>
      <c r="E26" s="50">
        <f t="shared" si="2"/>
        <v>6009244</v>
      </c>
      <c r="F26" s="51">
        <f t="shared" si="2"/>
        <v>7036490</v>
      </c>
      <c r="G26" s="52">
        <f t="shared" si="2"/>
        <v>8105159.9999999991</v>
      </c>
      <c r="H26" s="53">
        <f t="shared" si="2"/>
        <v>10251590</v>
      </c>
      <c r="I26" s="63">
        <f>PRODUCT(C26,1.5)</f>
        <v>4500000</v>
      </c>
      <c r="J26" s="64">
        <f t="shared" si="3"/>
        <v>7502120</v>
      </c>
      <c r="K26" s="56">
        <f t="shared" si="3"/>
        <v>9009244</v>
      </c>
      <c r="L26" s="57">
        <f t="shared" si="3"/>
        <v>10536485</v>
      </c>
      <c r="M26" s="58">
        <f t="shared" si="3"/>
        <v>12105149.999999998</v>
      </c>
      <c r="N26" s="59">
        <f t="shared" si="3"/>
        <v>15251585</v>
      </c>
      <c r="O26" s="154">
        <f>(2/3)*(4.5)</f>
        <v>3</v>
      </c>
      <c r="P26" s="154">
        <v>135</v>
      </c>
      <c r="Q26" s="154">
        <v>30</v>
      </c>
      <c r="R26" s="154">
        <f t="shared" ref="R26:R63" si="4">P26/Q26</f>
        <v>4.5</v>
      </c>
      <c r="S26" s="153"/>
      <c r="T26" s="153"/>
      <c r="U26" s="153"/>
    </row>
    <row r="27" spans="1:21">
      <c r="A27" s="60" t="s">
        <v>25</v>
      </c>
      <c r="B27" s="61"/>
      <c r="C27" s="48">
        <f t="shared" si="0"/>
        <v>1500000</v>
      </c>
      <c r="D27" s="62">
        <f t="shared" si="1"/>
        <v>2502140</v>
      </c>
      <c r="E27" s="50">
        <f t="shared" si="2"/>
        <v>3009244</v>
      </c>
      <c r="F27" s="51">
        <f t="shared" si="2"/>
        <v>3536495</v>
      </c>
      <c r="G27" s="52">
        <f t="shared" si="2"/>
        <v>4105169.9999999995</v>
      </c>
      <c r="H27" s="53">
        <f t="shared" si="2"/>
        <v>5251595</v>
      </c>
      <c r="I27" s="63">
        <f>PRODUCT(C27,1.5)</f>
        <v>2250000</v>
      </c>
      <c r="J27" s="64">
        <f t="shared" si="3"/>
        <v>3752135</v>
      </c>
      <c r="K27" s="56">
        <f t="shared" si="3"/>
        <v>4509244</v>
      </c>
      <c r="L27" s="57">
        <f t="shared" si="3"/>
        <v>5286492.5</v>
      </c>
      <c r="M27" s="58">
        <f t="shared" si="3"/>
        <v>6105164.9999999991</v>
      </c>
      <c r="N27" s="59">
        <f t="shared" si="3"/>
        <v>7751592.5</v>
      </c>
      <c r="O27" s="154">
        <f>1/2*3</f>
        <v>1.5</v>
      </c>
      <c r="P27" s="154">
        <v>90</v>
      </c>
      <c r="Q27" s="154">
        <v>30</v>
      </c>
      <c r="R27" s="154">
        <f t="shared" si="4"/>
        <v>3</v>
      </c>
      <c r="S27" s="153"/>
      <c r="T27" s="153"/>
      <c r="U27" s="153"/>
    </row>
    <row r="28" spans="1:21">
      <c r="A28" s="60" t="s">
        <v>26</v>
      </c>
      <c r="B28" s="61"/>
      <c r="C28" s="48">
        <f t="shared" si="0"/>
        <v>1000000</v>
      </c>
      <c r="D28" s="62">
        <f t="shared" si="1"/>
        <v>1668810</v>
      </c>
      <c r="E28" s="50">
        <f t="shared" si="2"/>
        <v>2009244</v>
      </c>
      <c r="F28" s="51">
        <f t="shared" si="2"/>
        <v>2369830</v>
      </c>
      <c r="G28" s="52">
        <f t="shared" si="2"/>
        <v>2771840</v>
      </c>
      <c r="H28" s="53">
        <f t="shared" si="2"/>
        <v>3584930</v>
      </c>
      <c r="I28" s="63">
        <f t="shared" ref="I28:I63" si="5">PRODUCT(C28,1.5)</f>
        <v>1500000</v>
      </c>
      <c r="J28" s="64">
        <f t="shared" si="3"/>
        <v>2502140</v>
      </c>
      <c r="K28" s="56">
        <f t="shared" si="3"/>
        <v>3009244</v>
      </c>
      <c r="L28" s="57">
        <f t="shared" si="3"/>
        <v>3536495</v>
      </c>
      <c r="M28" s="58">
        <f t="shared" si="3"/>
        <v>4105170</v>
      </c>
      <c r="N28" s="59">
        <f t="shared" si="3"/>
        <v>5251595</v>
      </c>
      <c r="O28" s="154">
        <f>1/2*2</f>
        <v>1</v>
      </c>
      <c r="P28" s="154">
        <v>60</v>
      </c>
      <c r="Q28" s="154">
        <v>30</v>
      </c>
      <c r="R28" s="154">
        <f t="shared" si="4"/>
        <v>2</v>
      </c>
      <c r="S28" s="153"/>
      <c r="T28" s="153"/>
      <c r="U28" s="153"/>
    </row>
    <row r="29" spans="1:21">
      <c r="A29" s="60" t="s">
        <v>27</v>
      </c>
      <c r="B29" s="61"/>
      <c r="C29" s="48">
        <f t="shared" si="0"/>
        <v>840000</v>
      </c>
      <c r="D29" s="62">
        <f t="shared" si="1"/>
        <v>1402144.4000000001</v>
      </c>
      <c r="E29" s="50">
        <f t="shared" si="2"/>
        <v>1689244</v>
      </c>
      <c r="F29" s="51">
        <f t="shared" si="2"/>
        <v>1996497.2000000002</v>
      </c>
      <c r="G29" s="52">
        <f t="shared" si="2"/>
        <v>2345174.4</v>
      </c>
      <c r="H29" s="53">
        <f t="shared" si="2"/>
        <v>3051597.2</v>
      </c>
      <c r="I29" s="63">
        <f t="shared" si="5"/>
        <v>1260000</v>
      </c>
      <c r="J29" s="64">
        <f t="shared" si="3"/>
        <v>2102141.6</v>
      </c>
      <c r="K29" s="56">
        <f t="shared" si="3"/>
        <v>2529244</v>
      </c>
      <c r="L29" s="57">
        <f t="shared" si="3"/>
        <v>2976495.8000000003</v>
      </c>
      <c r="M29" s="58">
        <f t="shared" si="3"/>
        <v>3465171.5999999996</v>
      </c>
      <c r="N29" s="59">
        <f t="shared" si="3"/>
        <v>4451595.8000000007</v>
      </c>
      <c r="O29" s="154">
        <v>0.84</v>
      </c>
      <c r="P29" s="154">
        <v>50</v>
      </c>
      <c r="Q29" s="154">
        <v>30</v>
      </c>
      <c r="R29" s="154">
        <f t="shared" si="4"/>
        <v>1.6666666666666667</v>
      </c>
      <c r="S29" s="153"/>
      <c r="T29" s="153"/>
      <c r="U29" s="153"/>
    </row>
    <row r="30" spans="1:21">
      <c r="A30" s="60" t="s">
        <v>28</v>
      </c>
      <c r="B30" s="61"/>
      <c r="C30" s="48">
        <f t="shared" si="0"/>
        <v>1000000</v>
      </c>
      <c r="D30" s="62">
        <f t="shared" si="1"/>
        <v>1668810</v>
      </c>
      <c r="E30" s="50">
        <f t="shared" si="2"/>
        <v>2009244</v>
      </c>
      <c r="F30" s="51">
        <f t="shared" si="2"/>
        <v>2369830</v>
      </c>
      <c r="G30" s="52">
        <f t="shared" si="2"/>
        <v>2771840</v>
      </c>
      <c r="H30" s="53">
        <f t="shared" si="2"/>
        <v>3584930</v>
      </c>
      <c r="I30" s="63">
        <f t="shared" si="5"/>
        <v>1500000</v>
      </c>
      <c r="J30" s="64">
        <f t="shared" si="3"/>
        <v>2502140</v>
      </c>
      <c r="K30" s="56">
        <f t="shared" si="3"/>
        <v>3009244</v>
      </c>
      <c r="L30" s="57">
        <f t="shared" si="3"/>
        <v>3536495</v>
      </c>
      <c r="M30" s="58">
        <f t="shared" si="3"/>
        <v>4105170</v>
      </c>
      <c r="N30" s="59">
        <f t="shared" si="3"/>
        <v>5251595</v>
      </c>
      <c r="O30" s="154">
        <f>1/2*2</f>
        <v>1</v>
      </c>
      <c r="P30" s="154">
        <v>60</v>
      </c>
      <c r="Q30" s="154">
        <v>30</v>
      </c>
      <c r="R30" s="154">
        <f t="shared" si="4"/>
        <v>2</v>
      </c>
      <c r="S30" s="153"/>
      <c r="T30" s="153"/>
      <c r="U30" s="153"/>
    </row>
    <row r="31" spans="1:21">
      <c r="A31" s="60" t="s">
        <v>29</v>
      </c>
      <c r="B31" s="61"/>
      <c r="C31" s="48">
        <f t="shared" si="0"/>
        <v>1190000</v>
      </c>
      <c r="D31" s="62">
        <f t="shared" si="1"/>
        <v>1985475.4000000001</v>
      </c>
      <c r="E31" s="50">
        <f t="shared" si="2"/>
        <v>2389244</v>
      </c>
      <c r="F31" s="51">
        <f t="shared" si="2"/>
        <v>2813162.7</v>
      </c>
      <c r="G31" s="52">
        <f t="shared" si="2"/>
        <v>3278505.4</v>
      </c>
      <c r="H31" s="53">
        <f t="shared" si="2"/>
        <v>4218262.7</v>
      </c>
      <c r="I31" s="63">
        <f t="shared" si="5"/>
        <v>1785000</v>
      </c>
      <c r="J31" s="64">
        <f t="shared" si="3"/>
        <v>2977138.1</v>
      </c>
      <c r="K31" s="56">
        <f t="shared" si="3"/>
        <v>3579244</v>
      </c>
      <c r="L31" s="57">
        <f t="shared" si="3"/>
        <v>4201494.0500000007</v>
      </c>
      <c r="M31" s="58">
        <f t="shared" si="3"/>
        <v>4865168.0999999996</v>
      </c>
      <c r="N31" s="59">
        <f t="shared" si="3"/>
        <v>6201594.0500000007</v>
      </c>
      <c r="O31" s="154">
        <v>1.19</v>
      </c>
      <c r="P31" s="154">
        <v>70</v>
      </c>
      <c r="Q31" s="154">
        <v>30</v>
      </c>
      <c r="R31" s="154">
        <f t="shared" si="4"/>
        <v>2.3333333333333335</v>
      </c>
      <c r="S31" s="153"/>
      <c r="T31" s="153"/>
      <c r="U31" s="153"/>
    </row>
    <row r="32" spans="1:21">
      <c r="A32" s="60" t="s">
        <v>30</v>
      </c>
      <c r="B32" s="61"/>
      <c r="C32" s="48">
        <f t="shared" si="0"/>
        <v>1410000</v>
      </c>
      <c r="D32" s="62">
        <f t="shared" si="1"/>
        <v>2352140.6</v>
      </c>
      <c r="E32" s="50">
        <f t="shared" si="2"/>
        <v>2829244</v>
      </c>
      <c r="F32" s="51">
        <f t="shared" si="2"/>
        <v>3326495.3000000003</v>
      </c>
      <c r="G32" s="52">
        <f t="shared" si="2"/>
        <v>3865170.5999999996</v>
      </c>
      <c r="H32" s="53">
        <f t="shared" si="2"/>
        <v>4951595.3</v>
      </c>
      <c r="I32" s="63">
        <f t="shared" si="5"/>
        <v>2115000</v>
      </c>
      <c r="J32" s="64">
        <f t="shared" si="3"/>
        <v>3527135.9000000004</v>
      </c>
      <c r="K32" s="56">
        <f t="shared" si="3"/>
        <v>4239244</v>
      </c>
      <c r="L32" s="57">
        <f t="shared" si="3"/>
        <v>4971492.95</v>
      </c>
      <c r="M32" s="58">
        <f t="shared" si="3"/>
        <v>5745165.8999999994</v>
      </c>
      <c r="N32" s="59">
        <f t="shared" si="3"/>
        <v>7301592.9499999993</v>
      </c>
      <c r="O32" s="154">
        <v>1.41</v>
      </c>
      <c r="P32" s="154">
        <v>85</v>
      </c>
      <c r="Q32" s="154">
        <v>30</v>
      </c>
      <c r="R32" s="154">
        <f t="shared" si="4"/>
        <v>2.8333333333333335</v>
      </c>
      <c r="S32" s="153"/>
      <c r="T32" s="153"/>
      <c r="U32" s="153"/>
    </row>
    <row r="33" spans="1:21">
      <c r="A33" s="60" t="s">
        <v>31</v>
      </c>
      <c r="B33" s="61"/>
      <c r="C33" s="48">
        <f t="shared" si="0"/>
        <v>1680000</v>
      </c>
      <c r="D33" s="62">
        <f t="shared" si="1"/>
        <v>2802138.8000000003</v>
      </c>
      <c r="E33" s="50">
        <f t="shared" si="2"/>
        <v>3369244</v>
      </c>
      <c r="F33" s="51">
        <f t="shared" si="2"/>
        <v>3956494.4000000004</v>
      </c>
      <c r="G33" s="52">
        <f t="shared" si="2"/>
        <v>4585168.8</v>
      </c>
      <c r="H33" s="53">
        <f t="shared" si="2"/>
        <v>5851594.4000000004</v>
      </c>
      <c r="I33" s="63">
        <f t="shared" si="5"/>
        <v>2520000</v>
      </c>
      <c r="J33" s="64">
        <f t="shared" si="3"/>
        <v>4202133.2</v>
      </c>
      <c r="K33" s="56">
        <f t="shared" si="3"/>
        <v>5049244</v>
      </c>
      <c r="L33" s="57">
        <f t="shared" si="3"/>
        <v>5916491.6000000006</v>
      </c>
      <c r="M33" s="58">
        <f t="shared" si="3"/>
        <v>6825163.1999999993</v>
      </c>
      <c r="N33" s="59">
        <f t="shared" si="3"/>
        <v>8651591.6000000015</v>
      </c>
      <c r="O33" s="154">
        <v>1.68</v>
      </c>
      <c r="P33" s="154">
        <v>100</v>
      </c>
      <c r="Q33" s="154">
        <v>30</v>
      </c>
      <c r="R33" s="154">
        <f t="shared" si="4"/>
        <v>3.3333333333333335</v>
      </c>
      <c r="S33" s="153"/>
      <c r="T33" s="153"/>
      <c r="U33" s="153"/>
    </row>
    <row r="34" spans="1:21">
      <c r="A34" s="60" t="s">
        <v>32</v>
      </c>
      <c r="B34" s="61"/>
      <c r="C34" s="48">
        <f t="shared" si="0"/>
        <v>833000</v>
      </c>
      <c r="D34" s="62">
        <f t="shared" si="1"/>
        <v>1390477.78</v>
      </c>
      <c r="E34" s="50">
        <f t="shared" si="2"/>
        <v>1675244</v>
      </c>
      <c r="F34" s="51">
        <f t="shared" si="2"/>
        <v>1980163.8900000001</v>
      </c>
      <c r="G34" s="52">
        <f t="shared" si="2"/>
        <v>2326507.7799999998</v>
      </c>
      <c r="H34" s="53">
        <f t="shared" si="2"/>
        <v>3028263.89</v>
      </c>
      <c r="I34" s="63">
        <f t="shared" si="5"/>
        <v>1249500</v>
      </c>
      <c r="J34" s="64">
        <f t="shared" si="3"/>
        <v>2084641.67</v>
      </c>
      <c r="K34" s="56">
        <f t="shared" si="3"/>
        <v>2508244</v>
      </c>
      <c r="L34" s="57">
        <f t="shared" si="3"/>
        <v>2951995.835</v>
      </c>
      <c r="M34" s="58">
        <f t="shared" si="3"/>
        <v>3437171.67</v>
      </c>
      <c r="N34" s="59">
        <f t="shared" si="3"/>
        <v>4416595.835</v>
      </c>
      <c r="O34" s="154">
        <f>1/2*1.666</f>
        <v>0.83299999999999996</v>
      </c>
      <c r="P34" s="154">
        <v>50</v>
      </c>
      <c r="Q34" s="154">
        <v>30</v>
      </c>
      <c r="R34" s="154">
        <f t="shared" si="4"/>
        <v>1.6666666666666667</v>
      </c>
      <c r="S34" s="153"/>
      <c r="T34" s="153"/>
      <c r="U34" s="153"/>
    </row>
    <row r="35" spans="1:21">
      <c r="A35" s="60" t="s">
        <v>33</v>
      </c>
      <c r="B35" s="61"/>
      <c r="C35" s="48">
        <f t="shared" si="0"/>
        <v>416500</v>
      </c>
      <c r="D35" s="62">
        <f t="shared" si="1"/>
        <v>696313.89</v>
      </c>
      <c r="E35" s="50">
        <f t="shared" si="2"/>
        <v>842244</v>
      </c>
      <c r="F35" s="51">
        <f t="shared" si="2"/>
        <v>1008331.9450000001</v>
      </c>
      <c r="G35" s="52">
        <f t="shared" si="2"/>
        <v>1215843.8899999999</v>
      </c>
      <c r="H35" s="53">
        <f t="shared" si="2"/>
        <v>1639931.9450000001</v>
      </c>
      <c r="I35" s="63">
        <f t="shared" si="5"/>
        <v>624750</v>
      </c>
      <c r="J35" s="64">
        <f t="shared" si="3"/>
        <v>1043395.835</v>
      </c>
      <c r="K35" s="56">
        <f t="shared" si="3"/>
        <v>1258744</v>
      </c>
      <c r="L35" s="57">
        <f t="shared" si="3"/>
        <v>1494247.9175</v>
      </c>
      <c r="M35" s="58">
        <f t="shared" si="3"/>
        <v>1771175.835</v>
      </c>
      <c r="N35" s="59">
        <f t="shared" si="3"/>
        <v>2334097.9175</v>
      </c>
      <c r="O35" s="154">
        <f>1/2*1.666/2</f>
        <v>0.41649999999999998</v>
      </c>
      <c r="P35" s="154">
        <v>50</v>
      </c>
      <c r="Q35" s="154">
        <v>60</v>
      </c>
      <c r="R35" s="154">
        <f t="shared" si="4"/>
        <v>0.83333333333333337</v>
      </c>
      <c r="S35" s="153"/>
      <c r="T35" s="153"/>
      <c r="U35" s="153"/>
    </row>
    <row r="36" spans="1:21">
      <c r="A36" s="60" t="s">
        <v>34</v>
      </c>
      <c r="B36" s="61"/>
      <c r="C36" s="48">
        <f t="shared" si="0"/>
        <v>1000000</v>
      </c>
      <c r="D36" s="62">
        <f t="shared" si="1"/>
        <v>1668810</v>
      </c>
      <c r="E36" s="50">
        <f t="shared" si="2"/>
        <v>2009244</v>
      </c>
      <c r="F36" s="51">
        <f t="shared" si="2"/>
        <v>2369830</v>
      </c>
      <c r="G36" s="52">
        <f t="shared" si="2"/>
        <v>2771840</v>
      </c>
      <c r="H36" s="53">
        <f t="shared" si="2"/>
        <v>3584930</v>
      </c>
      <c r="I36" s="63">
        <f t="shared" si="5"/>
        <v>1500000</v>
      </c>
      <c r="J36" s="64">
        <f t="shared" si="3"/>
        <v>2502140</v>
      </c>
      <c r="K36" s="56">
        <f t="shared" si="3"/>
        <v>3009244</v>
      </c>
      <c r="L36" s="57">
        <f t="shared" si="3"/>
        <v>3536495</v>
      </c>
      <c r="M36" s="58">
        <f t="shared" si="3"/>
        <v>4105170</v>
      </c>
      <c r="N36" s="59">
        <f t="shared" si="3"/>
        <v>5251595</v>
      </c>
      <c r="O36" s="154">
        <f>1/2*2</f>
        <v>1</v>
      </c>
      <c r="P36" s="154">
        <v>60</v>
      </c>
      <c r="Q36" s="154">
        <v>30</v>
      </c>
      <c r="R36" s="154">
        <f t="shared" si="4"/>
        <v>2</v>
      </c>
      <c r="S36" s="153"/>
      <c r="T36" s="153"/>
      <c r="U36" s="153"/>
    </row>
    <row r="37" spans="1:21">
      <c r="A37" s="60" t="s">
        <v>35</v>
      </c>
      <c r="B37" s="61"/>
      <c r="C37" s="48">
        <f t="shared" si="0"/>
        <v>500000</v>
      </c>
      <c r="D37" s="62">
        <f t="shared" si="1"/>
        <v>835480</v>
      </c>
      <c r="E37" s="50">
        <f t="shared" si="2"/>
        <v>1009244</v>
      </c>
      <c r="F37" s="51">
        <f t="shared" si="2"/>
        <v>1203165</v>
      </c>
      <c r="G37" s="52">
        <f t="shared" si="2"/>
        <v>1438510</v>
      </c>
      <c r="H37" s="53">
        <f t="shared" si="2"/>
        <v>1918265</v>
      </c>
      <c r="I37" s="63">
        <f t="shared" si="5"/>
        <v>750000</v>
      </c>
      <c r="J37" s="64">
        <f t="shared" si="3"/>
        <v>1252145</v>
      </c>
      <c r="K37" s="56">
        <f t="shared" si="3"/>
        <v>1509244</v>
      </c>
      <c r="L37" s="57">
        <f t="shared" si="3"/>
        <v>1786497.5</v>
      </c>
      <c r="M37" s="58">
        <f t="shared" si="3"/>
        <v>2105175</v>
      </c>
      <c r="N37" s="59">
        <f t="shared" si="3"/>
        <v>2751597.5</v>
      </c>
      <c r="O37" s="154">
        <f>1/2*2/2</f>
        <v>0.5</v>
      </c>
      <c r="P37" s="154">
        <v>60</v>
      </c>
      <c r="Q37" s="154">
        <v>60</v>
      </c>
      <c r="R37" s="154">
        <f t="shared" si="4"/>
        <v>1</v>
      </c>
      <c r="S37" s="153"/>
      <c r="T37" s="153"/>
      <c r="U37" s="153"/>
    </row>
    <row r="38" spans="1:21">
      <c r="A38" s="60" t="s">
        <v>36</v>
      </c>
      <c r="B38" s="61"/>
      <c r="C38" s="48">
        <f t="shared" si="0"/>
        <v>1190000</v>
      </c>
      <c r="D38" s="62">
        <f t="shared" si="1"/>
        <v>1985475.4000000001</v>
      </c>
      <c r="E38" s="50">
        <f t="shared" si="2"/>
        <v>2389244</v>
      </c>
      <c r="F38" s="51">
        <f t="shared" si="2"/>
        <v>2813162.7</v>
      </c>
      <c r="G38" s="52">
        <f t="shared" si="2"/>
        <v>3278505.4</v>
      </c>
      <c r="H38" s="53">
        <f t="shared" si="2"/>
        <v>4218262.7</v>
      </c>
      <c r="I38" s="63">
        <f t="shared" si="5"/>
        <v>1785000</v>
      </c>
      <c r="J38" s="64">
        <f t="shared" si="3"/>
        <v>2977138.1</v>
      </c>
      <c r="K38" s="56">
        <f t="shared" si="3"/>
        <v>3579244</v>
      </c>
      <c r="L38" s="57">
        <f t="shared" si="3"/>
        <v>4201494.0500000007</v>
      </c>
      <c r="M38" s="58">
        <f t="shared" si="3"/>
        <v>4865168.0999999996</v>
      </c>
      <c r="N38" s="59">
        <f t="shared" si="3"/>
        <v>6201594.0500000007</v>
      </c>
      <c r="O38" s="154">
        <v>1.19</v>
      </c>
      <c r="P38" s="154">
        <v>70</v>
      </c>
      <c r="Q38" s="154">
        <v>30</v>
      </c>
      <c r="R38" s="154">
        <f t="shared" si="4"/>
        <v>2.3333333333333335</v>
      </c>
      <c r="S38" s="153"/>
      <c r="T38" s="153"/>
      <c r="U38" s="153"/>
    </row>
    <row r="39" spans="1:21">
      <c r="A39" s="60" t="s">
        <v>37</v>
      </c>
      <c r="B39" s="61"/>
      <c r="C39" s="48">
        <f t="shared" si="0"/>
        <v>595000</v>
      </c>
      <c r="D39" s="62">
        <f t="shared" si="1"/>
        <v>993812.70000000007</v>
      </c>
      <c r="E39" s="50">
        <f t="shared" si="2"/>
        <v>1199244</v>
      </c>
      <c r="F39" s="51">
        <f t="shared" si="2"/>
        <v>1424831.35</v>
      </c>
      <c r="G39" s="52">
        <f t="shared" si="2"/>
        <v>1691842.7</v>
      </c>
      <c r="H39" s="53">
        <f t="shared" si="2"/>
        <v>2234931.35</v>
      </c>
      <c r="I39" s="63">
        <f t="shared" si="5"/>
        <v>892500</v>
      </c>
      <c r="J39" s="64">
        <f t="shared" si="3"/>
        <v>1489644.05</v>
      </c>
      <c r="K39" s="56">
        <f t="shared" si="3"/>
        <v>1794244</v>
      </c>
      <c r="L39" s="57">
        <f t="shared" si="3"/>
        <v>2118997.0250000004</v>
      </c>
      <c r="M39" s="58">
        <f t="shared" si="3"/>
        <v>2485174.0499999998</v>
      </c>
      <c r="N39" s="59">
        <f t="shared" si="3"/>
        <v>3226597.0250000004</v>
      </c>
      <c r="O39" s="154">
        <f>O38/2</f>
        <v>0.59499999999999997</v>
      </c>
      <c r="P39" s="154">
        <v>70</v>
      </c>
      <c r="Q39" s="154">
        <v>60</v>
      </c>
      <c r="R39" s="154">
        <f t="shared" si="4"/>
        <v>1.1666666666666667</v>
      </c>
      <c r="S39" s="153"/>
      <c r="T39" s="153"/>
      <c r="U39" s="153"/>
    </row>
    <row r="40" spans="1:21">
      <c r="A40" s="60" t="s">
        <v>38</v>
      </c>
      <c r="B40" s="61"/>
      <c r="C40" s="48">
        <f t="shared" si="0"/>
        <v>1410000</v>
      </c>
      <c r="D40" s="62">
        <f t="shared" si="1"/>
        <v>2352140.6</v>
      </c>
      <c r="E40" s="50">
        <f t="shared" si="2"/>
        <v>2829244</v>
      </c>
      <c r="F40" s="51">
        <f t="shared" si="2"/>
        <v>3326495.3000000003</v>
      </c>
      <c r="G40" s="52">
        <f t="shared" si="2"/>
        <v>3865170.5999999996</v>
      </c>
      <c r="H40" s="53">
        <f t="shared" si="2"/>
        <v>4951595.3</v>
      </c>
      <c r="I40" s="63">
        <f t="shared" si="5"/>
        <v>2115000</v>
      </c>
      <c r="J40" s="64">
        <f t="shared" si="3"/>
        <v>3527135.9000000004</v>
      </c>
      <c r="K40" s="56">
        <f t="shared" si="3"/>
        <v>4239244</v>
      </c>
      <c r="L40" s="57">
        <f t="shared" si="3"/>
        <v>4971492.95</v>
      </c>
      <c r="M40" s="58">
        <f t="shared" si="3"/>
        <v>5745165.8999999994</v>
      </c>
      <c r="N40" s="59">
        <f t="shared" si="3"/>
        <v>7301592.9499999993</v>
      </c>
      <c r="O40" s="154">
        <v>1.41</v>
      </c>
      <c r="P40" s="154">
        <v>85</v>
      </c>
      <c r="Q40" s="154">
        <v>30</v>
      </c>
      <c r="R40" s="154">
        <f t="shared" si="4"/>
        <v>2.8333333333333335</v>
      </c>
      <c r="S40" s="153"/>
      <c r="T40" s="153"/>
      <c r="U40" s="153"/>
    </row>
    <row r="41" spans="1:21">
      <c r="A41" s="60" t="s">
        <v>39</v>
      </c>
      <c r="B41" s="61"/>
      <c r="C41" s="48">
        <f t="shared" si="0"/>
        <v>705000</v>
      </c>
      <c r="D41" s="62">
        <f t="shared" si="1"/>
        <v>1177145.3</v>
      </c>
      <c r="E41" s="50">
        <f t="shared" si="2"/>
        <v>1419244</v>
      </c>
      <c r="F41" s="51">
        <f t="shared" si="2"/>
        <v>1681497.6500000001</v>
      </c>
      <c r="G41" s="52">
        <f t="shared" si="2"/>
        <v>1985175.2999999998</v>
      </c>
      <c r="H41" s="53">
        <f t="shared" si="2"/>
        <v>2601597.65</v>
      </c>
      <c r="I41" s="63">
        <f t="shared" si="5"/>
        <v>1057500</v>
      </c>
      <c r="J41" s="64">
        <f t="shared" si="3"/>
        <v>1764642.9500000002</v>
      </c>
      <c r="K41" s="56">
        <f t="shared" si="3"/>
        <v>2124244</v>
      </c>
      <c r="L41" s="57">
        <f t="shared" si="3"/>
        <v>2503996.4750000001</v>
      </c>
      <c r="M41" s="58">
        <f t="shared" si="3"/>
        <v>2925172.9499999997</v>
      </c>
      <c r="N41" s="59">
        <f t="shared" si="3"/>
        <v>3776596.4749999996</v>
      </c>
      <c r="O41" s="154">
        <f>O40/2</f>
        <v>0.70499999999999996</v>
      </c>
      <c r="P41" s="154">
        <v>85</v>
      </c>
      <c r="Q41" s="154">
        <v>60</v>
      </c>
      <c r="R41" s="154">
        <f t="shared" si="4"/>
        <v>1.4166666666666667</v>
      </c>
      <c r="S41" s="153"/>
      <c r="T41" s="153"/>
      <c r="U41" s="153"/>
    </row>
    <row r="42" spans="1:21">
      <c r="A42" s="60" t="s">
        <v>40</v>
      </c>
      <c r="B42" s="61"/>
      <c r="C42" s="48">
        <f t="shared" si="0"/>
        <v>1680000</v>
      </c>
      <c r="D42" s="62">
        <f t="shared" si="1"/>
        <v>2802138.8000000003</v>
      </c>
      <c r="E42" s="50">
        <f t="shared" si="2"/>
        <v>3369244</v>
      </c>
      <c r="F42" s="51">
        <f t="shared" si="2"/>
        <v>3956494.4000000004</v>
      </c>
      <c r="G42" s="52">
        <f t="shared" si="2"/>
        <v>4585168.8</v>
      </c>
      <c r="H42" s="53">
        <f t="shared" si="2"/>
        <v>5851594.4000000004</v>
      </c>
      <c r="I42" s="63">
        <f t="shared" si="5"/>
        <v>2520000</v>
      </c>
      <c r="J42" s="64">
        <f t="shared" si="3"/>
        <v>4202133.2</v>
      </c>
      <c r="K42" s="56">
        <f t="shared" si="3"/>
        <v>5049244</v>
      </c>
      <c r="L42" s="57">
        <f t="shared" si="3"/>
        <v>5916491.6000000006</v>
      </c>
      <c r="M42" s="58">
        <f t="shared" si="3"/>
        <v>6825163.1999999993</v>
      </c>
      <c r="N42" s="59">
        <f t="shared" si="3"/>
        <v>8651591.6000000015</v>
      </c>
      <c r="O42" s="154">
        <v>1.68</v>
      </c>
      <c r="P42" s="154">
        <v>100</v>
      </c>
      <c r="Q42" s="154">
        <v>30</v>
      </c>
      <c r="R42" s="154">
        <f t="shared" si="4"/>
        <v>3.3333333333333335</v>
      </c>
      <c r="S42" s="153"/>
      <c r="T42" s="153"/>
      <c r="U42" s="153"/>
    </row>
    <row r="43" spans="1:21">
      <c r="A43" s="60" t="s">
        <v>41</v>
      </c>
      <c r="B43" s="61"/>
      <c r="C43" s="48">
        <f t="shared" si="0"/>
        <v>840000</v>
      </c>
      <c r="D43" s="62">
        <f t="shared" si="1"/>
        <v>1402144.4000000001</v>
      </c>
      <c r="E43" s="50">
        <f t="shared" si="2"/>
        <v>1689244</v>
      </c>
      <c r="F43" s="51">
        <f t="shared" si="2"/>
        <v>1996497.2000000002</v>
      </c>
      <c r="G43" s="52">
        <f t="shared" si="2"/>
        <v>2345174.4</v>
      </c>
      <c r="H43" s="53">
        <f t="shared" si="2"/>
        <v>3051597.2</v>
      </c>
      <c r="I43" s="63">
        <f t="shared" si="5"/>
        <v>1260000</v>
      </c>
      <c r="J43" s="64">
        <f t="shared" si="3"/>
        <v>2102141.6</v>
      </c>
      <c r="K43" s="56">
        <f t="shared" si="3"/>
        <v>2529244</v>
      </c>
      <c r="L43" s="57">
        <f t="shared" si="3"/>
        <v>2976495.8000000003</v>
      </c>
      <c r="M43" s="58">
        <f t="shared" si="3"/>
        <v>3465171.5999999996</v>
      </c>
      <c r="N43" s="59">
        <f t="shared" si="3"/>
        <v>4451595.8000000007</v>
      </c>
      <c r="O43" s="154">
        <f>O42/2</f>
        <v>0.84</v>
      </c>
      <c r="P43" s="154">
        <v>100</v>
      </c>
      <c r="Q43" s="154">
        <v>60</v>
      </c>
      <c r="R43" s="154">
        <f t="shared" si="4"/>
        <v>1.6666666666666667</v>
      </c>
      <c r="S43" s="153"/>
      <c r="T43" s="153"/>
      <c r="U43" s="153"/>
    </row>
    <row r="44" spans="1:21">
      <c r="A44" s="60" t="s">
        <v>42</v>
      </c>
      <c r="B44" s="61"/>
      <c r="C44" s="48">
        <f t="shared" ref="C44:C53" si="6">PRODUCT($B$3,$O44,((200+$B$6)/20)^2)/100</f>
        <v>1666000</v>
      </c>
      <c r="D44" s="62">
        <f t="shared" si="1"/>
        <v>2778805.56</v>
      </c>
      <c r="E44" s="50">
        <f t="shared" si="2"/>
        <v>3341244</v>
      </c>
      <c r="F44" s="51">
        <f t="shared" si="2"/>
        <v>3923827.7800000003</v>
      </c>
      <c r="G44" s="52">
        <f t="shared" si="2"/>
        <v>4547835.5599999996</v>
      </c>
      <c r="H44" s="53">
        <f t="shared" si="2"/>
        <v>5804927.7800000003</v>
      </c>
      <c r="I44" s="63">
        <f t="shared" si="5"/>
        <v>2499000</v>
      </c>
      <c r="J44" s="64">
        <f t="shared" si="3"/>
        <v>4167133.34</v>
      </c>
      <c r="K44" s="56">
        <f t="shared" si="3"/>
        <v>5007244</v>
      </c>
      <c r="L44" s="57">
        <f t="shared" si="3"/>
        <v>5867491.6699999999</v>
      </c>
      <c r="M44" s="58">
        <f t="shared" si="3"/>
        <v>6769163.3399999999</v>
      </c>
      <c r="N44" s="59">
        <f t="shared" si="3"/>
        <v>8581591.6699999999</v>
      </c>
      <c r="O44" s="154">
        <f>1.666</f>
        <v>1.6659999999999999</v>
      </c>
      <c r="P44" s="154">
        <v>100</v>
      </c>
      <c r="Q44" s="154">
        <v>30</v>
      </c>
      <c r="R44" s="154">
        <f t="shared" si="4"/>
        <v>3.3333333333333335</v>
      </c>
      <c r="S44" s="153"/>
      <c r="T44" s="153"/>
      <c r="U44" s="153"/>
    </row>
    <row r="45" spans="1:21">
      <c r="A45" s="60" t="s">
        <v>43</v>
      </c>
      <c r="B45" s="61"/>
      <c r="C45" s="48">
        <f t="shared" si="6"/>
        <v>2000000</v>
      </c>
      <c r="D45" s="62">
        <f t="shared" si="1"/>
        <v>3335470</v>
      </c>
      <c r="E45" s="50">
        <f t="shared" si="2"/>
        <v>4009244</v>
      </c>
      <c r="F45" s="51">
        <f t="shared" si="2"/>
        <v>4703160</v>
      </c>
      <c r="G45" s="52">
        <f t="shared" si="2"/>
        <v>5438500</v>
      </c>
      <c r="H45" s="53">
        <f t="shared" si="2"/>
        <v>6918260</v>
      </c>
      <c r="I45" s="63">
        <f t="shared" si="5"/>
        <v>3000000</v>
      </c>
      <c r="J45" s="64">
        <f t="shared" si="3"/>
        <v>5002130</v>
      </c>
      <c r="K45" s="56">
        <f t="shared" si="3"/>
        <v>6009244</v>
      </c>
      <c r="L45" s="57">
        <f t="shared" si="3"/>
        <v>7036490</v>
      </c>
      <c r="M45" s="58">
        <f t="shared" si="3"/>
        <v>8105160</v>
      </c>
      <c r="N45" s="59">
        <f t="shared" si="3"/>
        <v>10251590</v>
      </c>
      <c r="O45" s="154">
        <f>2</f>
        <v>2</v>
      </c>
      <c r="P45" s="154">
        <v>120</v>
      </c>
      <c r="Q45" s="154">
        <v>30</v>
      </c>
      <c r="R45" s="154">
        <f t="shared" si="4"/>
        <v>4</v>
      </c>
      <c r="S45" s="153"/>
      <c r="T45" s="153"/>
      <c r="U45" s="153"/>
    </row>
    <row r="46" spans="1:21">
      <c r="A46" s="60" t="s">
        <v>44</v>
      </c>
      <c r="B46" s="61"/>
      <c r="C46" s="48">
        <f t="shared" si="6"/>
        <v>2333000</v>
      </c>
      <c r="D46" s="62">
        <f t="shared" si="1"/>
        <v>3890467.7800000003</v>
      </c>
      <c r="E46" s="50">
        <f t="shared" si="2"/>
        <v>4675244</v>
      </c>
      <c r="F46" s="51">
        <f t="shared" si="2"/>
        <v>5480158.8900000006</v>
      </c>
      <c r="G46" s="52">
        <f t="shared" si="2"/>
        <v>6326497.7799999993</v>
      </c>
      <c r="H46" s="53">
        <f t="shared" si="2"/>
        <v>8028258.8900000006</v>
      </c>
      <c r="I46" s="63">
        <f t="shared" si="5"/>
        <v>3499500</v>
      </c>
      <c r="J46" s="64">
        <f t="shared" si="3"/>
        <v>5834626.6699999999</v>
      </c>
      <c r="K46" s="56">
        <f t="shared" si="3"/>
        <v>7008244</v>
      </c>
      <c r="L46" s="57">
        <f t="shared" si="3"/>
        <v>8201988.3350000009</v>
      </c>
      <c r="M46" s="58">
        <f t="shared" si="3"/>
        <v>9437156.6699999981</v>
      </c>
      <c r="N46" s="59">
        <f t="shared" si="3"/>
        <v>11916588.335000001</v>
      </c>
      <c r="O46" s="154">
        <f>2.333</f>
        <v>2.3330000000000002</v>
      </c>
      <c r="P46" s="154">
        <v>140</v>
      </c>
      <c r="Q46" s="154">
        <v>30</v>
      </c>
      <c r="R46" s="154">
        <f t="shared" si="4"/>
        <v>4.666666666666667</v>
      </c>
      <c r="S46" s="153"/>
      <c r="T46" s="153"/>
      <c r="U46" s="153"/>
    </row>
    <row r="47" spans="1:21">
      <c r="A47" s="60" t="s">
        <v>45</v>
      </c>
      <c r="B47" s="61"/>
      <c r="C47" s="48">
        <f t="shared" si="6"/>
        <v>2820000</v>
      </c>
      <c r="D47" s="62">
        <f t="shared" si="1"/>
        <v>4702131.2</v>
      </c>
      <c r="E47" s="50">
        <f t="shared" si="2"/>
        <v>5649244</v>
      </c>
      <c r="F47" s="51">
        <f t="shared" si="2"/>
        <v>6616490.6000000006</v>
      </c>
      <c r="G47" s="52">
        <f t="shared" si="2"/>
        <v>7625161.1999999993</v>
      </c>
      <c r="H47" s="53">
        <f t="shared" si="2"/>
        <v>9651590.5999999996</v>
      </c>
      <c r="I47" s="63">
        <f t="shared" si="5"/>
        <v>4230000</v>
      </c>
      <c r="J47" s="64">
        <f t="shared" si="3"/>
        <v>7052121.8000000007</v>
      </c>
      <c r="K47" s="56">
        <f t="shared" si="3"/>
        <v>8469244</v>
      </c>
      <c r="L47" s="57">
        <f t="shared" si="3"/>
        <v>9906485.9000000004</v>
      </c>
      <c r="M47" s="58">
        <f t="shared" si="3"/>
        <v>11385151.799999999</v>
      </c>
      <c r="N47" s="59">
        <f t="shared" si="3"/>
        <v>14351585.899999999</v>
      </c>
      <c r="O47" s="154">
        <v>2.82</v>
      </c>
      <c r="P47" s="154">
        <v>170</v>
      </c>
      <c r="Q47" s="154">
        <v>30</v>
      </c>
      <c r="R47" s="154">
        <f t="shared" si="4"/>
        <v>5.666666666666667</v>
      </c>
      <c r="S47" s="153"/>
      <c r="T47" s="153"/>
      <c r="U47" s="153"/>
    </row>
    <row r="48" spans="1:21">
      <c r="A48" s="60" t="s">
        <v>46</v>
      </c>
      <c r="B48" s="61"/>
      <c r="C48" s="48">
        <f t="shared" si="6"/>
        <v>3360000</v>
      </c>
      <c r="D48" s="62">
        <f t="shared" si="1"/>
        <v>5602127.6000000006</v>
      </c>
      <c r="E48" s="50">
        <f t="shared" si="2"/>
        <v>6729244</v>
      </c>
      <c r="F48" s="51">
        <f t="shared" si="2"/>
        <v>7876488.8000000007</v>
      </c>
      <c r="G48" s="52">
        <f t="shared" si="2"/>
        <v>9065157.5999999996</v>
      </c>
      <c r="H48" s="53">
        <f t="shared" si="2"/>
        <v>11451588.800000001</v>
      </c>
      <c r="I48" s="63">
        <f t="shared" si="5"/>
        <v>5040000</v>
      </c>
      <c r="J48" s="64">
        <f t="shared" si="3"/>
        <v>8402116.4000000004</v>
      </c>
      <c r="K48" s="56">
        <f t="shared" si="3"/>
        <v>10089244</v>
      </c>
      <c r="L48" s="57">
        <f t="shared" si="3"/>
        <v>11796483.200000001</v>
      </c>
      <c r="M48" s="58">
        <f t="shared" si="3"/>
        <v>13545146.399999999</v>
      </c>
      <c r="N48" s="59">
        <f t="shared" si="3"/>
        <v>17051583.200000003</v>
      </c>
      <c r="O48" s="154">
        <v>3.36</v>
      </c>
      <c r="P48" s="154">
        <v>200</v>
      </c>
      <c r="Q48" s="154">
        <v>30</v>
      </c>
      <c r="R48" s="154">
        <f t="shared" si="4"/>
        <v>6.666666666666667</v>
      </c>
      <c r="S48" s="153"/>
      <c r="T48" s="153"/>
      <c r="U48" s="153"/>
    </row>
    <row r="49" spans="1:21">
      <c r="A49" s="65" t="s">
        <v>47</v>
      </c>
      <c r="B49" s="61"/>
      <c r="C49" s="48">
        <f t="shared" si="6"/>
        <v>710000</v>
      </c>
      <c r="D49" s="62">
        <f t="shared" si="1"/>
        <v>1185478.6000000001</v>
      </c>
      <c r="E49" s="50">
        <f t="shared" si="2"/>
        <v>1429244</v>
      </c>
      <c r="F49" s="51">
        <f t="shared" si="2"/>
        <v>1693164.3</v>
      </c>
      <c r="G49" s="52">
        <f t="shared" si="2"/>
        <v>1998508.5999999999</v>
      </c>
      <c r="H49" s="53">
        <f t="shared" si="2"/>
        <v>2618264.3000000003</v>
      </c>
      <c r="I49" s="63">
        <f t="shared" si="5"/>
        <v>1065000</v>
      </c>
      <c r="J49" s="64">
        <f t="shared" si="3"/>
        <v>1777142.9000000001</v>
      </c>
      <c r="K49" s="56">
        <f t="shared" si="3"/>
        <v>2139244</v>
      </c>
      <c r="L49" s="57">
        <f t="shared" si="3"/>
        <v>2521496.4500000002</v>
      </c>
      <c r="M49" s="58">
        <f t="shared" si="3"/>
        <v>2945172.9</v>
      </c>
      <c r="N49" s="59">
        <f t="shared" si="3"/>
        <v>3801596.45</v>
      </c>
      <c r="O49" s="154">
        <v>0.71</v>
      </c>
      <c r="P49" s="154">
        <v>60</v>
      </c>
      <c r="Q49" s="154">
        <v>30</v>
      </c>
      <c r="R49" s="154">
        <f t="shared" si="4"/>
        <v>2</v>
      </c>
      <c r="S49" s="153"/>
      <c r="T49" s="153"/>
      <c r="U49" s="153"/>
    </row>
    <row r="50" spans="1:21">
      <c r="A50" s="60" t="s">
        <v>48</v>
      </c>
      <c r="B50" s="61"/>
      <c r="C50" s="48">
        <f t="shared" si="6"/>
        <v>840000</v>
      </c>
      <c r="D50" s="62">
        <f t="shared" si="1"/>
        <v>1402144.4000000001</v>
      </c>
      <c r="E50" s="50">
        <f t="shared" si="2"/>
        <v>1689244</v>
      </c>
      <c r="F50" s="51">
        <f t="shared" si="2"/>
        <v>1996497.2000000002</v>
      </c>
      <c r="G50" s="52">
        <f t="shared" si="2"/>
        <v>2345174.4</v>
      </c>
      <c r="H50" s="53">
        <f t="shared" si="2"/>
        <v>3051597.2</v>
      </c>
      <c r="I50" s="63">
        <f t="shared" si="5"/>
        <v>1260000</v>
      </c>
      <c r="J50" s="64">
        <f t="shared" si="3"/>
        <v>2102141.6</v>
      </c>
      <c r="K50" s="56">
        <f t="shared" si="3"/>
        <v>2529244</v>
      </c>
      <c r="L50" s="57">
        <f t="shared" si="3"/>
        <v>2976495.8000000003</v>
      </c>
      <c r="M50" s="58">
        <f t="shared" si="3"/>
        <v>3465171.5999999996</v>
      </c>
      <c r="N50" s="59">
        <f t="shared" si="3"/>
        <v>4451595.8000000007</v>
      </c>
      <c r="O50" s="154">
        <v>0.84</v>
      </c>
      <c r="P50" s="154">
        <v>75</v>
      </c>
      <c r="Q50" s="154">
        <v>30</v>
      </c>
      <c r="R50" s="154">
        <f t="shared" si="4"/>
        <v>2.5</v>
      </c>
      <c r="S50" s="153"/>
      <c r="T50" s="153"/>
      <c r="U50" s="153"/>
    </row>
    <row r="51" spans="1:21">
      <c r="A51" s="66" t="s">
        <v>49</v>
      </c>
      <c r="B51" s="67"/>
      <c r="C51" s="48">
        <f t="shared" si="6"/>
        <v>1000000</v>
      </c>
      <c r="D51" s="62">
        <f t="shared" si="1"/>
        <v>1668810</v>
      </c>
      <c r="E51" s="50">
        <f t="shared" si="2"/>
        <v>2009244</v>
      </c>
      <c r="F51" s="51">
        <f t="shared" si="2"/>
        <v>2369830</v>
      </c>
      <c r="G51" s="52">
        <f t="shared" si="2"/>
        <v>2771840</v>
      </c>
      <c r="H51" s="53">
        <f t="shared" si="2"/>
        <v>3584930</v>
      </c>
      <c r="I51" s="68">
        <f t="shared" si="5"/>
        <v>1500000</v>
      </c>
      <c r="J51" s="64">
        <f t="shared" si="3"/>
        <v>2502140</v>
      </c>
      <c r="K51" s="56">
        <f t="shared" si="3"/>
        <v>3009244</v>
      </c>
      <c r="L51" s="57">
        <f t="shared" si="3"/>
        <v>3536495</v>
      </c>
      <c r="M51" s="58">
        <f t="shared" si="3"/>
        <v>4105170</v>
      </c>
      <c r="N51" s="59">
        <f t="shared" si="3"/>
        <v>5251595</v>
      </c>
      <c r="O51" s="154">
        <f>1/3*2*1.5</f>
        <v>1</v>
      </c>
      <c r="P51" s="154">
        <v>90</v>
      </c>
      <c r="Q51" s="154">
        <v>30</v>
      </c>
      <c r="R51" s="154">
        <f t="shared" si="4"/>
        <v>3</v>
      </c>
      <c r="S51" s="153"/>
      <c r="T51" s="153"/>
      <c r="U51" s="153"/>
    </row>
    <row r="52" spans="1:21">
      <c r="A52" s="69" t="s">
        <v>50</v>
      </c>
      <c r="B52" s="69"/>
      <c r="C52" s="48">
        <f t="shared" si="6"/>
        <v>1190000</v>
      </c>
      <c r="D52" s="62">
        <f t="shared" si="1"/>
        <v>1985475.4000000001</v>
      </c>
      <c r="E52" s="50">
        <f t="shared" si="2"/>
        <v>2389244</v>
      </c>
      <c r="F52" s="51">
        <f t="shared" si="2"/>
        <v>2813162.7</v>
      </c>
      <c r="G52" s="52">
        <f t="shared" si="2"/>
        <v>3278505.4</v>
      </c>
      <c r="H52" s="53">
        <f t="shared" si="2"/>
        <v>4218262.7</v>
      </c>
      <c r="I52" s="63">
        <f t="shared" si="5"/>
        <v>1785000</v>
      </c>
      <c r="J52" s="64">
        <f t="shared" si="3"/>
        <v>2977138.1</v>
      </c>
      <c r="K52" s="56">
        <f t="shared" si="3"/>
        <v>3579244</v>
      </c>
      <c r="L52" s="57">
        <f t="shared" si="3"/>
        <v>4201494.0500000007</v>
      </c>
      <c r="M52" s="58">
        <f t="shared" si="3"/>
        <v>4865168.0999999996</v>
      </c>
      <c r="N52" s="59">
        <f t="shared" si="3"/>
        <v>6201594.0500000007</v>
      </c>
      <c r="O52" s="154">
        <v>1.19</v>
      </c>
      <c r="P52" s="154">
        <v>105</v>
      </c>
      <c r="Q52" s="154">
        <v>30</v>
      </c>
      <c r="R52" s="154">
        <f t="shared" si="4"/>
        <v>3.5</v>
      </c>
      <c r="S52" s="153"/>
      <c r="T52" s="153"/>
      <c r="U52" s="153"/>
    </row>
    <row r="53" spans="1:21">
      <c r="A53" s="69" t="s">
        <v>51</v>
      </c>
      <c r="B53" s="69"/>
      <c r="C53" s="48">
        <f t="shared" si="6"/>
        <v>1410000</v>
      </c>
      <c r="D53" s="62">
        <f t="shared" si="1"/>
        <v>2352140.6</v>
      </c>
      <c r="E53" s="50">
        <f t="shared" si="2"/>
        <v>2829244</v>
      </c>
      <c r="F53" s="51">
        <f t="shared" si="2"/>
        <v>3326495.3000000003</v>
      </c>
      <c r="G53" s="52">
        <f t="shared" si="2"/>
        <v>3865170.5999999996</v>
      </c>
      <c r="H53" s="53">
        <f t="shared" si="2"/>
        <v>4951595.3</v>
      </c>
      <c r="I53" s="63">
        <f t="shared" si="5"/>
        <v>2115000</v>
      </c>
      <c r="J53" s="64">
        <f t="shared" si="3"/>
        <v>3527135.9000000004</v>
      </c>
      <c r="K53" s="56">
        <f t="shared" si="3"/>
        <v>4239244</v>
      </c>
      <c r="L53" s="57">
        <f t="shared" si="3"/>
        <v>4971492.95</v>
      </c>
      <c r="M53" s="58">
        <f t="shared" si="3"/>
        <v>5745165.8999999994</v>
      </c>
      <c r="N53" s="59">
        <f t="shared" si="3"/>
        <v>7301592.9499999993</v>
      </c>
      <c r="O53" s="154">
        <v>1.41</v>
      </c>
      <c r="P53" s="154">
        <v>120</v>
      </c>
      <c r="Q53" s="154">
        <v>30</v>
      </c>
      <c r="R53" s="154">
        <f t="shared" si="4"/>
        <v>4</v>
      </c>
      <c r="S53" s="153"/>
      <c r="T53" s="153"/>
      <c r="U53" s="153"/>
    </row>
    <row r="54" spans="1:21">
      <c r="A54" s="69" t="s">
        <v>52</v>
      </c>
      <c r="B54" s="69"/>
      <c r="C54" s="48">
        <f t="shared" si="0"/>
        <v>444000</v>
      </c>
      <c r="D54" s="62">
        <f t="shared" si="1"/>
        <v>742147.04</v>
      </c>
      <c r="E54" s="50">
        <f t="shared" si="2"/>
        <v>897244</v>
      </c>
      <c r="F54" s="51">
        <f t="shared" si="2"/>
        <v>1072498.52</v>
      </c>
      <c r="G54" s="52">
        <f t="shared" si="2"/>
        <v>1289177.0399999998</v>
      </c>
      <c r="H54" s="53">
        <f t="shared" si="2"/>
        <v>1731598.52</v>
      </c>
      <c r="I54" s="63">
        <f t="shared" si="5"/>
        <v>666000</v>
      </c>
      <c r="J54" s="64">
        <f t="shared" si="3"/>
        <v>1112145.56</v>
      </c>
      <c r="K54" s="56">
        <f t="shared" si="3"/>
        <v>1341244</v>
      </c>
      <c r="L54" s="57">
        <f t="shared" si="3"/>
        <v>1590497.78</v>
      </c>
      <c r="M54" s="58">
        <f t="shared" si="3"/>
        <v>1881175.5599999996</v>
      </c>
      <c r="N54" s="59">
        <f t="shared" si="3"/>
        <v>2471597.7800000003</v>
      </c>
      <c r="O54" s="154">
        <f>1/2*0.888</f>
        <v>0.44400000000000001</v>
      </c>
      <c r="P54" s="154">
        <v>40</v>
      </c>
      <c r="Q54" s="154">
        <v>40</v>
      </c>
      <c r="R54" s="154">
        <f t="shared" si="4"/>
        <v>1</v>
      </c>
      <c r="S54" s="153"/>
      <c r="T54" s="153"/>
      <c r="U54" s="153"/>
    </row>
    <row r="55" spans="1:21">
      <c r="A55" s="69" t="s">
        <v>53</v>
      </c>
      <c r="B55" s="69"/>
      <c r="C55" s="48">
        <f t="shared" si="0"/>
        <v>610000</v>
      </c>
      <c r="D55" s="62">
        <f t="shared" si="1"/>
        <v>1018812.6</v>
      </c>
      <c r="E55" s="50">
        <f t="shared" si="2"/>
        <v>1229244</v>
      </c>
      <c r="F55" s="51">
        <f t="shared" si="2"/>
        <v>1459831.3</v>
      </c>
      <c r="G55" s="52">
        <f t="shared" si="2"/>
        <v>1731842.5999999999</v>
      </c>
      <c r="H55" s="53">
        <f t="shared" si="2"/>
        <v>2284931.2999999998</v>
      </c>
      <c r="I55" s="63">
        <f t="shared" si="5"/>
        <v>915000</v>
      </c>
      <c r="J55" s="64">
        <f t="shared" si="3"/>
        <v>1527143.9</v>
      </c>
      <c r="K55" s="56">
        <f t="shared" si="3"/>
        <v>1839244</v>
      </c>
      <c r="L55" s="57">
        <f t="shared" si="3"/>
        <v>2171496.9500000002</v>
      </c>
      <c r="M55" s="58">
        <f t="shared" si="3"/>
        <v>2545173.9</v>
      </c>
      <c r="N55" s="59">
        <f t="shared" si="3"/>
        <v>3301596.95</v>
      </c>
      <c r="O55" s="154">
        <f>1/2*1.22</f>
        <v>0.61</v>
      </c>
      <c r="P55" s="154">
        <v>50</v>
      </c>
      <c r="Q55" s="154">
        <v>40</v>
      </c>
      <c r="R55" s="154">
        <f t="shared" si="4"/>
        <v>1.25</v>
      </c>
      <c r="S55" s="153"/>
      <c r="T55" s="153"/>
      <c r="U55" s="153"/>
    </row>
    <row r="56" spans="1:21">
      <c r="A56" s="69" t="s">
        <v>54</v>
      </c>
      <c r="B56" s="69"/>
      <c r="C56" s="48">
        <f t="shared" si="0"/>
        <v>750000</v>
      </c>
      <c r="D56" s="62">
        <f t="shared" si="1"/>
        <v>1252145</v>
      </c>
      <c r="E56" s="50">
        <f t="shared" si="2"/>
        <v>1509244</v>
      </c>
      <c r="F56" s="51">
        <f t="shared" si="2"/>
        <v>1786497.5</v>
      </c>
      <c r="G56" s="52">
        <f t="shared" si="2"/>
        <v>2105175</v>
      </c>
      <c r="H56" s="53">
        <f t="shared" si="2"/>
        <v>2751597.5</v>
      </c>
      <c r="I56" s="63">
        <f t="shared" si="5"/>
        <v>1125000</v>
      </c>
      <c r="J56" s="64">
        <f t="shared" si="3"/>
        <v>1877142.5</v>
      </c>
      <c r="K56" s="56">
        <f t="shared" si="3"/>
        <v>2259244</v>
      </c>
      <c r="L56" s="57">
        <f t="shared" si="3"/>
        <v>2661496.25</v>
      </c>
      <c r="M56" s="58">
        <f t="shared" si="3"/>
        <v>3105172.4999999995</v>
      </c>
      <c r="N56" s="59">
        <f t="shared" si="3"/>
        <v>4001596.25</v>
      </c>
      <c r="O56" s="154">
        <f>1/2*1.5</f>
        <v>0.75</v>
      </c>
      <c r="P56" s="154">
        <v>60</v>
      </c>
      <c r="Q56" s="154">
        <v>40</v>
      </c>
      <c r="R56" s="154">
        <f t="shared" si="4"/>
        <v>1.5</v>
      </c>
      <c r="S56" s="153"/>
      <c r="T56" s="153"/>
      <c r="U56" s="153"/>
    </row>
    <row r="57" spans="1:21">
      <c r="A57" s="69" t="s">
        <v>55</v>
      </c>
      <c r="B57" s="69"/>
      <c r="C57" s="48">
        <f t="shared" si="0"/>
        <v>885000</v>
      </c>
      <c r="D57" s="62">
        <f t="shared" si="1"/>
        <v>1477144.1</v>
      </c>
      <c r="E57" s="50">
        <f t="shared" si="2"/>
        <v>1779244</v>
      </c>
      <c r="F57" s="51">
        <f t="shared" si="2"/>
        <v>2101497.0499999998</v>
      </c>
      <c r="G57" s="52">
        <f t="shared" si="2"/>
        <v>2465174.0999999996</v>
      </c>
      <c r="H57" s="53">
        <f t="shared" si="2"/>
        <v>3201597.0500000003</v>
      </c>
      <c r="I57" s="63">
        <f t="shared" si="5"/>
        <v>1327500</v>
      </c>
      <c r="J57" s="64">
        <f t="shared" si="3"/>
        <v>2214641.1500000004</v>
      </c>
      <c r="K57" s="56">
        <f t="shared" si="3"/>
        <v>2664244</v>
      </c>
      <c r="L57" s="57">
        <f t="shared" si="3"/>
        <v>3133995.5750000002</v>
      </c>
      <c r="M57" s="58">
        <f t="shared" si="3"/>
        <v>3645171.1499999994</v>
      </c>
      <c r="N57" s="59">
        <f t="shared" si="3"/>
        <v>4676595.5750000002</v>
      </c>
      <c r="O57" s="154">
        <f>1/2*1.77</f>
        <v>0.88500000000000001</v>
      </c>
      <c r="P57" s="155">
        <v>70</v>
      </c>
      <c r="Q57" s="154">
        <v>40</v>
      </c>
      <c r="R57" s="154">
        <f t="shared" si="4"/>
        <v>1.75</v>
      </c>
      <c r="S57" s="153"/>
      <c r="T57" s="153"/>
      <c r="U57" s="153"/>
    </row>
    <row r="58" spans="1:21">
      <c r="A58" s="69" t="s">
        <v>56</v>
      </c>
      <c r="B58" s="69"/>
      <c r="C58" s="48">
        <f t="shared" si="0"/>
        <v>1000000</v>
      </c>
      <c r="D58" s="62">
        <f t="shared" si="1"/>
        <v>1668810</v>
      </c>
      <c r="E58" s="50">
        <f t="shared" si="2"/>
        <v>2009244</v>
      </c>
      <c r="F58" s="51">
        <f t="shared" si="2"/>
        <v>2369830</v>
      </c>
      <c r="G58" s="52">
        <f t="shared" si="2"/>
        <v>2771840</v>
      </c>
      <c r="H58" s="53">
        <f t="shared" si="2"/>
        <v>3584930</v>
      </c>
      <c r="I58" s="63">
        <f t="shared" si="5"/>
        <v>1500000</v>
      </c>
      <c r="J58" s="64">
        <f t="shared" si="3"/>
        <v>2502140</v>
      </c>
      <c r="K58" s="56">
        <f t="shared" si="3"/>
        <v>3009244</v>
      </c>
      <c r="L58" s="57">
        <f t="shared" si="3"/>
        <v>3536495</v>
      </c>
      <c r="M58" s="58">
        <f t="shared" si="3"/>
        <v>4105170</v>
      </c>
      <c r="N58" s="59">
        <f t="shared" si="3"/>
        <v>5251595</v>
      </c>
      <c r="O58" s="154">
        <f>1/2*2</f>
        <v>1</v>
      </c>
      <c r="P58" s="155">
        <v>80</v>
      </c>
      <c r="Q58" s="154">
        <v>40</v>
      </c>
      <c r="R58" s="154">
        <f t="shared" si="4"/>
        <v>2</v>
      </c>
      <c r="S58" s="153"/>
      <c r="T58" s="153"/>
      <c r="U58" s="153"/>
    </row>
    <row r="59" spans="1:21">
      <c r="A59" s="69" t="s">
        <v>57</v>
      </c>
      <c r="B59" s="69"/>
      <c r="C59" s="48">
        <f t="shared" si="0"/>
        <v>380000</v>
      </c>
      <c r="D59" s="62">
        <f t="shared" si="1"/>
        <v>635480.80000000005</v>
      </c>
      <c r="E59" s="50">
        <f t="shared" si="2"/>
        <v>769244</v>
      </c>
      <c r="F59" s="51">
        <f t="shared" si="2"/>
        <v>923165.4</v>
      </c>
      <c r="G59" s="52">
        <f t="shared" si="2"/>
        <v>1118510.7999999998</v>
      </c>
      <c r="H59" s="53">
        <f t="shared" si="2"/>
        <v>1518265.4000000001</v>
      </c>
      <c r="I59" s="63">
        <f t="shared" si="5"/>
        <v>570000</v>
      </c>
      <c r="J59" s="64">
        <f t="shared" si="3"/>
        <v>952146.20000000007</v>
      </c>
      <c r="K59" s="56">
        <f t="shared" si="3"/>
        <v>1149244</v>
      </c>
      <c r="L59" s="57">
        <f t="shared" si="3"/>
        <v>1366498.1</v>
      </c>
      <c r="M59" s="58">
        <f t="shared" si="3"/>
        <v>1625176.2</v>
      </c>
      <c r="N59" s="59">
        <f t="shared" si="3"/>
        <v>2151598.1</v>
      </c>
      <c r="O59" s="154">
        <f>1/2*0.76</f>
        <v>0.38</v>
      </c>
      <c r="P59" s="155">
        <v>30</v>
      </c>
      <c r="Q59" s="154">
        <v>40</v>
      </c>
      <c r="R59" s="154">
        <f t="shared" si="4"/>
        <v>0.75</v>
      </c>
      <c r="S59" s="153"/>
      <c r="T59" s="153"/>
      <c r="U59" s="153"/>
    </row>
    <row r="60" spans="1:21">
      <c r="A60" s="69" t="s">
        <v>58</v>
      </c>
      <c r="B60" s="69"/>
      <c r="C60" s="48">
        <f t="shared" si="0"/>
        <v>440000</v>
      </c>
      <c r="D60" s="62">
        <f t="shared" si="1"/>
        <v>735480.4</v>
      </c>
      <c r="E60" s="50">
        <f t="shared" si="2"/>
        <v>889244</v>
      </c>
      <c r="F60" s="51">
        <f t="shared" si="2"/>
        <v>1063165.2000000002</v>
      </c>
      <c r="G60" s="52">
        <f t="shared" si="2"/>
        <v>1278510.3999999999</v>
      </c>
      <c r="H60" s="53">
        <f t="shared" si="2"/>
        <v>1718265.2</v>
      </c>
      <c r="I60" s="63">
        <f t="shared" si="5"/>
        <v>660000</v>
      </c>
      <c r="J60" s="64">
        <f t="shared" si="3"/>
        <v>1102145.6000000001</v>
      </c>
      <c r="K60" s="56">
        <f t="shared" si="3"/>
        <v>1329244</v>
      </c>
      <c r="L60" s="57">
        <f t="shared" si="3"/>
        <v>1576497.8</v>
      </c>
      <c r="M60" s="58">
        <f t="shared" si="3"/>
        <v>1865175.5999999999</v>
      </c>
      <c r="N60" s="59">
        <f t="shared" si="3"/>
        <v>2451597.7999999998</v>
      </c>
      <c r="O60" s="154">
        <f>1/2*0.88</f>
        <v>0.44</v>
      </c>
      <c r="P60" s="155">
        <v>30</v>
      </c>
      <c r="Q60" s="154">
        <v>35</v>
      </c>
      <c r="R60" s="154">
        <f t="shared" si="4"/>
        <v>0.8571428571428571</v>
      </c>
      <c r="S60" s="153"/>
      <c r="T60" s="153"/>
      <c r="U60" s="153"/>
    </row>
    <row r="61" spans="1:21">
      <c r="A61" s="69" t="s">
        <v>59</v>
      </c>
      <c r="B61" s="69"/>
      <c r="C61" s="48">
        <f t="shared" si="0"/>
        <v>530000</v>
      </c>
      <c r="D61" s="62">
        <f t="shared" si="1"/>
        <v>885479.8</v>
      </c>
      <c r="E61" s="50">
        <f t="shared" si="2"/>
        <v>1069244</v>
      </c>
      <c r="F61" s="51">
        <f t="shared" si="2"/>
        <v>1273164.9000000001</v>
      </c>
      <c r="G61" s="52">
        <f t="shared" si="2"/>
        <v>1518509.7999999998</v>
      </c>
      <c r="H61" s="53">
        <f t="shared" si="2"/>
        <v>2018264.9000000001</v>
      </c>
      <c r="I61" s="63">
        <f t="shared" si="5"/>
        <v>795000</v>
      </c>
      <c r="J61" s="64">
        <f t="shared" si="3"/>
        <v>1327144.7000000002</v>
      </c>
      <c r="K61" s="56">
        <f t="shared" si="3"/>
        <v>1599244</v>
      </c>
      <c r="L61" s="57">
        <f t="shared" si="3"/>
        <v>1891497.35</v>
      </c>
      <c r="M61" s="58">
        <f t="shared" si="3"/>
        <v>2225174.6999999997</v>
      </c>
      <c r="N61" s="59">
        <f t="shared" si="3"/>
        <v>2901597.35</v>
      </c>
      <c r="O61" s="154">
        <f>1/2*1.06</f>
        <v>0.53</v>
      </c>
      <c r="P61" s="155">
        <v>30</v>
      </c>
      <c r="Q61" s="154">
        <v>30</v>
      </c>
      <c r="R61" s="154">
        <f t="shared" si="4"/>
        <v>1</v>
      </c>
      <c r="S61" s="153"/>
      <c r="T61" s="153"/>
      <c r="U61" s="153"/>
    </row>
    <row r="62" spans="1:21">
      <c r="A62" s="69" t="s">
        <v>60</v>
      </c>
      <c r="B62" s="69"/>
      <c r="C62" s="48">
        <f t="shared" si="0"/>
        <v>630000</v>
      </c>
      <c r="D62" s="62">
        <f t="shared" si="1"/>
        <v>1052145.8</v>
      </c>
      <c r="E62" s="50">
        <f t="shared" si="2"/>
        <v>1269244</v>
      </c>
      <c r="F62" s="51">
        <f t="shared" si="2"/>
        <v>1506497.9000000001</v>
      </c>
      <c r="G62" s="52">
        <f t="shared" si="2"/>
        <v>1785175.7999999998</v>
      </c>
      <c r="H62" s="53">
        <f t="shared" si="2"/>
        <v>2351597.9</v>
      </c>
      <c r="I62" s="63">
        <f t="shared" si="5"/>
        <v>945000</v>
      </c>
      <c r="J62" s="64">
        <f t="shared" si="3"/>
        <v>1577143.7000000002</v>
      </c>
      <c r="K62" s="56">
        <f t="shared" si="3"/>
        <v>1899244</v>
      </c>
      <c r="L62" s="57">
        <f t="shared" si="3"/>
        <v>2241496.85</v>
      </c>
      <c r="M62" s="58">
        <f t="shared" si="3"/>
        <v>2625173.6999999997</v>
      </c>
      <c r="N62" s="59">
        <f t="shared" si="3"/>
        <v>3401596.8499999996</v>
      </c>
      <c r="O62" s="154">
        <f>1/2*1.26</f>
        <v>0.63</v>
      </c>
      <c r="P62" s="155">
        <v>30</v>
      </c>
      <c r="Q62" s="154">
        <v>25</v>
      </c>
      <c r="R62" s="154">
        <f t="shared" si="4"/>
        <v>1.2</v>
      </c>
      <c r="S62" s="153"/>
      <c r="T62" s="153"/>
      <c r="U62" s="153"/>
    </row>
    <row r="63" spans="1:21" ht="17.25" thickBot="1">
      <c r="A63" s="70" t="s">
        <v>61</v>
      </c>
      <c r="B63" s="70"/>
      <c r="C63" s="71">
        <f t="shared" si="0"/>
        <v>750000</v>
      </c>
      <c r="D63" s="72">
        <f t="shared" si="1"/>
        <v>1252145</v>
      </c>
      <c r="E63" s="73">
        <f t="shared" si="2"/>
        <v>1509244</v>
      </c>
      <c r="F63" s="74">
        <f t="shared" si="2"/>
        <v>1786497.5</v>
      </c>
      <c r="G63" s="75">
        <f t="shared" si="2"/>
        <v>2105175</v>
      </c>
      <c r="H63" s="76">
        <f t="shared" si="2"/>
        <v>2751597.5</v>
      </c>
      <c r="I63" s="68">
        <f t="shared" si="5"/>
        <v>1125000</v>
      </c>
      <c r="J63" s="77">
        <f t="shared" si="3"/>
        <v>1877142.5</v>
      </c>
      <c r="K63" s="78">
        <f t="shared" si="3"/>
        <v>2259244</v>
      </c>
      <c r="L63" s="79">
        <f t="shared" si="3"/>
        <v>2661496.25</v>
      </c>
      <c r="M63" s="80">
        <f t="shared" si="3"/>
        <v>3105172.4999999995</v>
      </c>
      <c r="N63" s="81">
        <f t="shared" si="3"/>
        <v>4001596.25</v>
      </c>
      <c r="O63" s="154">
        <f>1/2*1.5</f>
        <v>0.75</v>
      </c>
      <c r="P63" s="155">
        <v>30</v>
      </c>
      <c r="Q63" s="154">
        <v>20</v>
      </c>
      <c r="R63" s="154">
        <f t="shared" si="4"/>
        <v>1.5</v>
      </c>
      <c r="S63" s="153"/>
      <c r="T63" s="153"/>
      <c r="U63" s="153"/>
    </row>
    <row r="64" spans="1:21" ht="17.25" thickBot="1">
      <c r="A64" s="32" t="str">
        <f>A24</f>
        <v>마법종류</v>
      </c>
      <c r="B64" s="82"/>
      <c r="C64" s="34" t="str">
        <f>C24</f>
        <v>데미지</v>
      </c>
      <c r="D64" s="83" t="s">
        <v>62</v>
      </c>
      <c r="E64" s="84" t="s">
        <v>63</v>
      </c>
      <c r="F64" s="85" t="s">
        <v>64</v>
      </c>
      <c r="G64" s="86" t="s">
        <v>65</v>
      </c>
      <c r="H64" s="87" t="s">
        <v>66</v>
      </c>
      <c r="I64" s="88" t="s">
        <v>67</v>
      </c>
      <c r="J64" s="89" t="s">
        <v>68</v>
      </c>
      <c r="K64" s="90" t="s">
        <v>69</v>
      </c>
      <c r="L64" s="91" t="s">
        <v>70</v>
      </c>
      <c r="M64" s="92" t="s">
        <v>71</v>
      </c>
      <c r="N64" s="93" t="s">
        <v>72</v>
      </c>
      <c r="O64" s="154"/>
      <c r="P64" s="155"/>
      <c r="Q64" s="154"/>
      <c r="R64" s="154"/>
      <c r="S64" s="153"/>
      <c r="T64" s="153"/>
      <c r="U64" s="153"/>
    </row>
    <row r="65" spans="1:21">
      <c r="A65" s="46" t="s">
        <v>73</v>
      </c>
      <c r="B65" s="47"/>
      <c r="C65" s="94">
        <f>IF(B5&lt;=40,"지력40이상",IF($C$3&lt;=700000,"체력70만이상",(583300+(($B$5+98)/2)*O65))*(((200+$B$6)/20)^2)/100)</f>
        <v>1102437</v>
      </c>
      <c r="D65" s="49">
        <f>IF(B5&lt;=40,C65,IF(700000&gt;=C$3,"체력70만이상",SUM(2150,PRODUCT(C65,1.66666))))</f>
        <v>1839537.6504200001</v>
      </c>
      <c r="E65" s="95">
        <f>IF(B5&lt;=40,C65,IF(C$3&lt;=700000,"체력70만이상",SUM(9244,PRODUCT(C65,2))))</f>
        <v>2214118</v>
      </c>
      <c r="F65" s="51">
        <f>IF(B5&lt;=40,C65,IF(C$3&lt;=70000,"체력70만이상",SUM(36500,PRODUCT(C65,2.33333))))</f>
        <v>2608849.3252099999</v>
      </c>
      <c r="G65" s="52">
        <f>IF(B5&lt;=40,C65,IF(C$3&lt;=70000,"체력70만이상",SUM(105180,PRODUCT(C65,2.66666))))</f>
        <v>3045004.6504199998</v>
      </c>
      <c r="H65" s="96">
        <f>IF(B5&lt;=40,C65,IF(C$3&lt;=70000,"체력70만이상",SUM(251600,PRODUCT(C65,3.33333))))</f>
        <v>3926386.3252099999</v>
      </c>
      <c r="I65" s="97">
        <f>IF(B5&lt;=40,C65,IF(C$3&lt;=70000,"체력70만이상",PRODUCT(C65,1.5)))</f>
        <v>1653655.5</v>
      </c>
      <c r="J65" s="55">
        <f>IF(B5&lt;=40,C65,IF(C$3&lt;=70000,"체력70만이상",SUM(2150,PRODUCT(C65,1.66666,1.5))))</f>
        <v>2758231.4756300002</v>
      </c>
      <c r="K65" s="56">
        <f>IF(B5&lt;=40,C65,IF(C$3&lt;=70000,"체력70만이상",SUM(9244,PRODUCT(C65,2,1.5))))</f>
        <v>3316555</v>
      </c>
      <c r="L65" s="98">
        <f>IF(B5&lt;=40,C65,IF(C$3&lt;=70000,"체력70만이상",SUM(36500,PRODUCT(C65,2.33333,1.5))))</f>
        <v>3895023.9878150001</v>
      </c>
      <c r="M65" s="99">
        <f>IF(B5&lt;=40,C65,IF(C$3&lt;=70000,"체력70만이상",SUM(105180,PRODUCT(C65,2.66666,1.5))))</f>
        <v>4514916.9756300002</v>
      </c>
      <c r="N65" s="100">
        <f>IF(B5&lt;=40,C65,IF(C$3&lt;=70000,"체력70만이상",SUM(251600,PRODUCT(C65,3.33333,1.5))))</f>
        <v>5763779.4878150001</v>
      </c>
      <c r="O65" s="154">
        <v>5833</v>
      </c>
      <c r="P65" s="154">
        <f>(SQRT(1.55))</f>
        <v>1.2449899597988732</v>
      </c>
      <c r="Q65" s="154"/>
      <c r="R65" s="154"/>
      <c r="S65" s="153"/>
      <c r="T65" s="153"/>
      <c r="U65" s="153"/>
    </row>
    <row r="66" spans="1:21">
      <c r="A66" s="101" t="s">
        <v>74</v>
      </c>
      <c r="B66" s="69"/>
      <c r="C66" s="31">
        <f>IF(B5&lt;=40,"지력40이상",IF($C$3&lt;=700000,"체력70만이상",(583300+(($B$5+98)/2)*O65))*(((200+$B$6)/20)^2)/100)*2</f>
        <v>2204874</v>
      </c>
      <c r="D66" s="102">
        <f>IF(B5&lt;=40,C66,IF(700000&gt;=C$3,"체력70만이상",SUM(2150,PRODUCT(C66,1.66666))))</f>
        <v>3676925.3008400002</v>
      </c>
      <c r="E66" s="103">
        <f>IF(B5&lt;=40,C66,IF(C$3&lt;=700000,"체력70만이상",SUM(9244,PRODUCT(C66,2))))</f>
        <v>4418992</v>
      </c>
      <c r="F66" s="104">
        <f>IF(B5&lt;=40,C66,IF(C$3&lt;=70000,"체력70만이상",SUM(36500,PRODUCT(C66,2.33333))))</f>
        <v>5181198.6504199998</v>
      </c>
      <c r="G66" s="105">
        <f>IF(B5&lt;=40,C66,IF(C$3&lt;=70000,"체력70만이상",SUM(105180,PRODUCT(C66,2.66666))))</f>
        <v>5984829.3008399997</v>
      </c>
      <c r="H66" s="106">
        <f>IF(B5&lt;=40,C66,IF(C$3&lt;=70000,"체력70만이상",SUM(251600,PRODUCT(C66,3.33333))))</f>
        <v>7601172.6504199998</v>
      </c>
      <c r="I66" s="63">
        <f>IF(B5&lt;=40,C66,IF(C$3&lt;=70000,"체력70만이상",PRODUCT(C66,1.5)))</f>
        <v>3307311</v>
      </c>
      <c r="J66" s="107">
        <f>IF(B5&lt;=40,C66,IF(C$3&lt;=70000,"체력70만이상",SUM(2150,PRODUCT(C66,1.66666,1.5))))</f>
        <v>5514312.9512600005</v>
      </c>
      <c r="K66" s="108">
        <f>IF(B5&lt;=40,C66,IF(C$3&lt;=70000,"체력70만이상",SUM(9244,PRODUCT(C66,2,1.5))))</f>
        <v>6623866</v>
      </c>
      <c r="L66" s="109">
        <f>IF(B5&lt;=40,C66,IF(C$3&lt;=70000,"체력70만이상",SUM(36500,PRODUCT(C66,2.33333,1.5))))</f>
        <v>7753547.9756300002</v>
      </c>
      <c r="M66" s="110">
        <f>IF(B5&lt;=40,C66,IF(C$3&lt;=70000,"체력70만이상",SUM(105180,PRODUCT(C66,2.66666,1.5))))</f>
        <v>8924653.9512600005</v>
      </c>
      <c r="N66" s="111">
        <f>IF(B5&lt;=40,C66,IF(C$3&lt;=70000,"체력70만이상",SUM(251600,PRODUCT(C66,3.33333,1.5))))</f>
        <v>11275958.97563</v>
      </c>
      <c r="O66" s="154"/>
      <c r="P66" s="154"/>
      <c r="Q66" s="154"/>
      <c r="R66" s="154"/>
      <c r="S66" s="153"/>
      <c r="T66" s="153"/>
      <c r="U66" s="153"/>
    </row>
    <row r="67" spans="1:21">
      <c r="A67" s="101" t="s">
        <v>75</v>
      </c>
      <c r="B67" s="101"/>
      <c r="C67" s="31">
        <f>(B3*3/9*3.8)+C25</f>
        <v>4266666.666666666</v>
      </c>
      <c r="D67" s="112">
        <f t="shared" ref="D67" si="7">IF(0=C$3,0,SUM(D$24,PRODUCT(C67,J$24)))</f>
        <v>7113232.666666666</v>
      </c>
      <c r="E67" s="113">
        <f t="shared" ref="E67:H67" si="8">IF(0=$C$3,0,SUM(E$24,PRODUCT($C67,K$24)))</f>
        <v>8542577.3333333321</v>
      </c>
      <c r="F67" s="104">
        <f t="shared" si="8"/>
        <v>9992041.3333333321</v>
      </c>
      <c r="G67" s="105">
        <f t="shared" si="8"/>
        <v>11482929.33333333</v>
      </c>
      <c r="H67" s="114">
        <f t="shared" si="8"/>
        <v>14473807.999999998</v>
      </c>
      <c r="I67" s="63">
        <f t="shared" ref="I67" si="9">PRODUCT(C67,1.5)</f>
        <v>6399999.9999999991</v>
      </c>
      <c r="J67" s="115">
        <f t="shared" ref="J67:N67" si="10">IF($C$3=0,0,SUM(D$24,PRODUCT($C67,J$24,$I$24)))</f>
        <v>10668774</v>
      </c>
      <c r="K67" s="108">
        <f t="shared" si="10"/>
        <v>12809243.999999998</v>
      </c>
      <c r="L67" s="116">
        <f t="shared" si="10"/>
        <v>14969811.999999998</v>
      </c>
      <c r="M67" s="117">
        <f t="shared" si="10"/>
        <v>17171803.999999996</v>
      </c>
      <c r="N67" s="118">
        <f t="shared" si="10"/>
        <v>21584911.999999996</v>
      </c>
      <c r="O67" s="154"/>
      <c r="P67" s="154"/>
      <c r="Q67" s="154"/>
      <c r="R67" s="154"/>
      <c r="S67" s="153"/>
      <c r="T67" s="153"/>
      <c r="U67" s="153"/>
    </row>
    <row r="68" spans="1:21">
      <c r="A68" s="1"/>
      <c r="B68" s="1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56"/>
      <c r="P68" s="156"/>
      <c r="Q68" s="153"/>
      <c r="R68" s="153"/>
      <c r="S68" s="153"/>
      <c r="T68" s="153"/>
      <c r="U68" s="153"/>
    </row>
    <row r="69" spans="1:21" ht="17.25" thickBot="1">
      <c r="A69" s="120"/>
      <c r="B69" s="121"/>
      <c r="C69" s="121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53"/>
      <c r="P69" s="153"/>
      <c r="Q69" s="153"/>
      <c r="R69" s="153"/>
      <c r="S69" s="153"/>
      <c r="T69" s="153"/>
      <c r="U69" s="153"/>
    </row>
    <row r="70" spans="1:21" ht="18" thickTop="1" thickBot="1">
      <c r="A70" s="32" t="s">
        <v>18</v>
      </c>
      <c r="B70" s="33"/>
      <c r="C70" s="123" t="s">
        <v>11</v>
      </c>
      <c r="D70" s="124">
        <v>2150</v>
      </c>
      <c r="E70" s="125">
        <v>9244</v>
      </c>
      <c r="F70" s="126">
        <v>36500</v>
      </c>
      <c r="G70" s="127">
        <v>105180</v>
      </c>
      <c r="H70" s="128">
        <v>251600</v>
      </c>
      <c r="I70" s="129">
        <v>1.5</v>
      </c>
      <c r="J70" s="130">
        <v>1.66666</v>
      </c>
      <c r="K70" s="131">
        <v>2</v>
      </c>
      <c r="L70" s="132">
        <v>2.3333300000000001</v>
      </c>
      <c r="M70" s="133">
        <v>2.6666599999999998</v>
      </c>
      <c r="N70" s="134">
        <v>3.3333300000000001</v>
      </c>
      <c r="O70" s="153" t="s">
        <v>76</v>
      </c>
      <c r="P70" s="153" t="s">
        <v>77</v>
      </c>
      <c r="Q70" s="153" t="s">
        <v>78</v>
      </c>
      <c r="R70" s="153" t="s">
        <v>79</v>
      </c>
      <c r="S70" s="153" t="s">
        <v>80</v>
      </c>
      <c r="T70" s="153"/>
      <c r="U70" s="153"/>
    </row>
    <row r="71" spans="1:21" ht="17.25" thickBot="1">
      <c r="A71" s="135" t="s">
        <v>81</v>
      </c>
      <c r="B71" s="136">
        <v>150</v>
      </c>
      <c r="C71" s="135" t="s">
        <v>82</v>
      </c>
      <c r="D71" s="137">
        <v>200</v>
      </c>
      <c r="E71" s="138" t="s">
        <v>83</v>
      </c>
      <c r="F71" s="137">
        <v>100</v>
      </c>
      <c r="G71" s="138" t="s">
        <v>84</v>
      </c>
      <c r="H71" s="137">
        <v>0</v>
      </c>
      <c r="I71" s="161">
        <f>(B71+D71)/2</f>
        <v>175</v>
      </c>
      <c r="J71" s="161">
        <f>(F71)*0.4</f>
        <v>40</v>
      </c>
      <c r="K71" s="161">
        <f>H71*5</f>
        <v>0</v>
      </c>
      <c r="L71" s="161">
        <f>I71+J71+K71</f>
        <v>215</v>
      </c>
      <c r="M71" s="161"/>
      <c r="N71" s="161"/>
      <c r="O71" s="153"/>
      <c r="P71" s="153"/>
      <c r="Q71" s="153"/>
      <c r="R71" s="153"/>
      <c r="S71" s="153"/>
      <c r="T71" s="153"/>
      <c r="U71" s="153"/>
    </row>
    <row r="72" spans="1:21" ht="17.25" thickTop="1">
      <c r="A72" s="139" t="s">
        <v>85</v>
      </c>
      <c r="B72" s="139"/>
      <c r="C72" s="140">
        <f>($L$71*O72)+((Q72)*R72)/10000</f>
        <v>430.48</v>
      </c>
      <c r="D72" s="49">
        <f>IF(0=$C$3,0,SUM(D$70,PRODUCT($C72,J$70)))</f>
        <v>2867.4637968000002</v>
      </c>
      <c r="E72" s="141">
        <f>IF(0=$C$3,0,SUM(E$70,PRODUCT($C72,K$70)))</f>
        <v>10104.959999999999</v>
      </c>
      <c r="F72" s="142">
        <f>IF(0=$C$3,0,SUM(F$70,PRODUCT($C72,L$70)))</f>
        <v>37504.451898400002</v>
      </c>
      <c r="G72" s="143">
        <f>IF(0=$C$3,0,SUM(G$70,PRODUCT($C72,M$70)))</f>
        <v>106327.9437968</v>
      </c>
      <c r="H72" s="144">
        <f>IF(0=$C$3,0,SUM(H$70,PRODUCT($C72,N$70)))</f>
        <v>253034.93189840001</v>
      </c>
      <c r="I72" s="68">
        <f t="shared" ref="I72:I117" si="11">PRODUCT(C72,1.5)</f>
        <v>645.72</v>
      </c>
      <c r="J72" s="55">
        <f>IF($C$3=0,0,SUM(D$70,PRODUCT($C72,J$70,$I$70)))</f>
        <v>3226.1956952</v>
      </c>
      <c r="K72" s="145">
        <f t="shared" ref="K72:N87" si="12">IF($C$3=0,0,SUM(E$70,PRODUCT($C72,K$70,$I$70)))</f>
        <v>10535.44</v>
      </c>
      <c r="L72" s="146">
        <f t="shared" si="12"/>
        <v>38006.677847600004</v>
      </c>
      <c r="M72" s="147">
        <f t="shared" si="12"/>
        <v>106901.9156952</v>
      </c>
      <c r="N72" s="148">
        <f t="shared" si="12"/>
        <v>253752.39784759999</v>
      </c>
      <c r="O72" s="156">
        <v>2</v>
      </c>
      <c r="P72" s="153">
        <v>0</v>
      </c>
      <c r="Q72" s="153">
        <v>8</v>
      </c>
      <c r="R72" s="153">
        <v>600</v>
      </c>
      <c r="S72" s="153">
        <v>0</v>
      </c>
      <c r="T72" s="153"/>
      <c r="U72" s="153"/>
    </row>
    <row r="73" spans="1:21">
      <c r="A73" s="149" t="s">
        <v>86</v>
      </c>
      <c r="B73" s="149"/>
      <c r="C73" s="140">
        <f>200+($L$71*O73)+((Q73)*R73)/10000</f>
        <v>632.22</v>
      </c>
      <c r="D73" s="49">
        <f t="shared" ref="D73:D101" si="13">IF(0=C$3,0,SUM(D$70,PRODUCT(C73,J$70)))</f>
        <v>3203.6957852</v>
      </c>
      <c r="E73" s="141">
        <f t="shared" ref="E73:H101" si="14">IF(0=$C$3,0,SUM(E$70,PRODUCT($C73,K$70)))</f>
        <v>10508.44</v>
      </c>
      <c r="F73" s="142">
        <f t="shared" si="14"/>
        <v>37975.177892599997</v>
      </c>
      <c r="G73" s="143">
        <f t="shared" si="14"/>
        <v>106865.91578520001</v>
      </c>
      <c r="H73" s="144">
        <f t="shared" si="14"/>
        <v>253707.39789260001</v>
      </c>
      <c r="I73" s="68">
        <f t="shared" si="11"/>
        <v>948.33</v>
      </c>
      <c r="J73" s="55">
        <f t="shared" ref="J73:N117" si="15">IF($C$3=0,0,SUM(D$70,PRODUCT($C73,J$70,$I$70)))</f>
        <v>3730.5436778000003</v>
      </c>
      <c r="K73" s="145">
        <f t="shared" si="12"/>
        <v>11140.66</v>
      </c>
      <c r="L73" s="146">
        <f t="shared" si="12"/>
        <v>38712.766838900003</v>
      </c>
      <c r="M73" s="147">
        <f t="shared" si="12"/>
        <v>107708.8736778</v>
      </c>
      <c r="N73" s="148">
        <f t="shared" si="12"/>
        <v>254761.0968389</v>
      </c>
      <c r="O73" s="156">
        <v>2</v>
      </c>
      <c r="P73" s="153"/>
      <c r="Q73" s="153">
        <v>37</v>
      </c>
      <c r="R73" s="153">
        <v>600</v>
      </c>
      <c r="S73" s="153">
        <v>0</v>
      </c>
      <c r="T73" s="153"/>
      <c r="U73" s="153"/>
    </row>
    <row r="74" spans="1:21">
      <c r="A74" s="149" t="s">
        <v>87</v>
      </c>
      <c r="B74" s="149"/>
      <c r="C74" s="140">
        <f>500+($L$71*O74)+((Q74)*R74)/10000</f>
        <v>1041.4000000000001</v>
      </c>
      <c r="D74" s="49">
        <f t="shared" si="13"/>
        <v>3885.6597240000001</v>
      </c>
      <c r="E74" s="141">
        <f t="shared" si="14"/>
        <v>11326.8</v>
      </c>
      <c r="F74" s="142">
        <f t="shared" si="14"/>
        <v>38929.929861999997</v>
      </c>
      <c r="G74" s="143">
        <f t="shared" si="14"/>
        <v>107957.05972400001</v>
      </c>
      <c r="H74" s="144">
        <f t="shared" si="14"/>
        <v>255071.32986200001</v>
      </c>
      <c r="I74" s="68">
        <f t="shared" si="11"/>
        <v>1562.1000000000001</v>
      </c>
      <c r="J74" s="55">
        <f t="shared" si="15"/>
        <v>4753.4895859999997</v>
      </c>
      <c r="K74" s="145">
        <f t="shared" si="12"/>
        <v>12368.2</v>
      </c>
      <c r="L74" s="146">
        <f t="shared" si="12"/>
        <v>40144.894792999999</v>
      </c>
      <c r="M74" s="147">
        <f t="shared" si="12"/>
        <v>109345.589586</v>
      </c>
      <c r="N74" s="148">
        <f t="shared" si="12"/>
        <v>256806.99479299999</v>
      </c>
      <c r="O74" s="156">
        <v>2.5</v>
      </c>
      <c r="P74" s="153"/>
      <c r="Q74" s="153">
        <v>65</v>
      </c>
      <c r="R74" s="153">
        <v>600</v>
      </c>
      <c r="S74" s="153">
        <v>0</v>
      </c>
      <c r="T74" s="153"/>
      <c r="U74" s="153"/>
    </row>
    <row r="75" spans="1:21">
      <c r="A75" s="149" t="s">
        <v>88</v>
      </c>
      <c r="B75" s="149"/>
      <c r="C75" s="140">
        <f>900+($L$71*O75)+((Q75)*R75)/10000</f>
        <v>1550.58</v>
      </c>
      <c r="D75" s="49">
        <f t="shared" si="13"/>
        <v>4734.2896627999999</v>
      </c>
      <c r="E75" s="141">
        <f t="shared" si="14"/>
        <v>12345.16</v>
      </c>
      <c r="F75" s="142">
        <f t="shared" si="14"/>
        <v>40118.014831399996</v>
      </c>
      <c r="G75" s="143">
        <f t="shared" si="14"/>
        <v>109314.8696628</v>
      </c>
      <c r="H75" s="144">
        <f t="shared" si="14"/>
        <v>256768.5948314</v>
      </c>
      <c r="I75" s="68">
        <f t="shared" si="11"/>
        <v>2325.87</v>
      </c>
      <c r="J75" s="55">
        <f t="shared" si="15"/>
        <v>6026.4344941999998</v>
      </c>
      <c r="K75" s="145">
        <f t="shared" si="12"/>
        <v>13895.74</v>
      </c>
      <c r="L75" s="146">
        <f t="shared" si="12"/>
        <v>41927.022247100002</v>
      </c>
      <c r="M75" s="147">
        <f t="shared" si="12"/>
        <v>111382.3044942</v>
      </c>
      <c r="N75" s="148">
        <f t="shared" si="12"/>
        <v>259352.89224710001</v>
      </c>
      <c r="O75" s="156">
        <v>3</v>
      </c>
      <c r="P75" s="153"/>
      <c r="Q75" s="153">
        <v>93</v>
      </c>
      <c r="R75" s="153">
        <v>600</v>
      </c>
      <c r="S75" s="153">
        <v>0</v>
      </c>
      <c r="T75" s="153"/>
      <c r="U75" s="153"/>
    </row>
    <row r="76" spans="1:21">
      <c r="A76" s="149" t="s">
        <v>89</v>
      </c>
      <c r="B76" s="149"/>
      <c r="C76" s="140">
        <f>1500+($L$71*O76)+(($C$3*0.01+Q76)*R76)/10000</f>
        <v>137287.495</v>
      </c>
      <c r="D76" s="49">
        <f t="shared" si="13"/>
        <v>230961.5764167</v>
      </c>
      <c r="E76" s="141">
        <f t="shared" si="14"/>
        <v>283818.99</v>
      </c>
      <c r="F76" s="142">
        <f t="shared" si="14"/>
        <v>356837.03070835001</v>
      </c>
      <c r="G76" s="143">
        <f t="shared" si="14"/>
        <v>471279.07141669997</v>
      </c>
      <c r="H76" s="144">
        <f t="shared" si="14"/>
        <v>709224.52570835</v>
      </c>
      <c r="I76" s="68">
        <f t="shared" si="11"/>
        <v>205931.24249999999</v>
      </c>
      <c r="J76" s="55">
        <f t="shared" si="15"/>
        <v>345367.36462504999</v>
      </c>
      <c r="K76" s="145">
        <f t="shared" si="12"/>
        <v>421106.48499999999</v>
      </c>
      <c r="L76" s="146">
        <f t="shared" si="12"/>
        <v>517005.54606252501</v>
      </c>
      <c r="M76" s="147">
        <f t="shared" si="12"/>
        <v>654328.60712504992</v>
      </c>
      <c r="N76" s="148">
        <f t="shared" si="12"/>
        <v>938036.78856252506</v>
      </c>
      <c r="O76" s="156">
        <v>3.5</v>
      </c>
      <c r="P76" s="153">
        <v>13395</v>
      </c>
      <c r="Q76" s="153">
        <v>81</v>
      </c>
      <c r="R76" s="153">
        <f>P76*10/1</f>
        <v>133950</v>
      </c>
      <c r="S76" s="153">
        <v>1</v>
      </c>
      <c r="T76" s="153"/>
      <c r="U76" s="153"/>
    </row>
    <row r="77" spans="1:21">
      <c r="A77" s="149" t="s">
        <v>90</v>
      </c>
      <c r="B77" s="149"/>
      <c r="C77" s="140">
        <f t="shared" ref="C77:C101" si="16">($L$71*O77)+(($C$3*0.06+Q77)*R77)/10000</f>
        <v>91325.65</v>
      </c>
      <c r="D77" s="49">
        <f t="shared" si="13"/>
        <v>154358.807829</v>
      </c>
      <c r="E77" s="141">
        <f t="shared" si="14"/>
        <v>191895.3</v>
      </c>
      <c r="F77" s="142">
        <f t="shared" si="14"/>
        <v>249592.8789145</v>
      </c>
      <c r="G77" s="143">
        <f t="shared" si="14"/>
        <v>348714.45782899996</v>
      </c>
      <c r="H77" s="144">
        <f t="shared" si="14"/>
        <v>556018.52891450003</v>
      </c>
      <c r="I77" s="68">
        <f t="shared" si="11"/>
        <v>136988.47499999998</v>
      </c>
      <c r="J77" s="55">
        <f t="shared" si="15"/>
        <v>230463.2117435</v>
      </c>
      <c r="K77" s="145">
        <f t="shared" si="12"/>
        <v>283220.94999999995</v>
      </c>
      <c r="L77" s="146">
        <f t="shared" si="12"/>
        <v>356139.31837175001</v>
      </c>
      <c r="M77" s="147">
        <f t="shared" si="12"/>
        <v>470481.68674349994</v>
      </c>
      <c r="N77" s="148">
        <f t="shared" si="12"/>
        <v>708227.79337174993</v>
      </c>
      <c r="O77" s="156">
        <v>134.5</v>
      </c>
      <c r="P77" s="156">
        <f>$P$82-1200</f>
        <v>6150</v>
      </c>
      <c r="Q77" s="153">
        <v>886</v>
      </c>
      <c r="R77" s="153">
        <f t="shared" ref="R77:R101" si="17">P77*10/6</f>
        <v>10250</v>
      </c>
      <c r="S77" s="153">
        <v>6</v>
      </c>
      <c r="T77" s="153"/>
      <c r="U77" s="153"/>
    </row>
    <row r="78" spans="1:21">
      <c r="A78" s="149" t="s">
        <v>91</v>
      </c>
      <c r="B78" s="149"/>
      <c r="C78" s="140">
        <f t="shared" si="16"/>
        <v>92517.75</v>
      </c>
      <c r="D78" s="49">
        <f t="shared" si="13"/>
        <v>156345.63321500001</v>
      </c>
      <c r="E78" s="141">
        <f t="shared" si="14"/>
        <v>194279.5</v>
      </c>
      <c r="F78" s="142">
        <f t="shared" si="14"/>
        <v>252374.44160750002</v>
      </c>
      <c r="G78" s="143">
        <f t="shared" si="14"/>
        <v>351893.38321499998</v>
      </c>
      <c r="H78" s="144">
        <f t="shared" si="14"/>
        <v>559992.19160749996</v>
      </c>
      <c r="I78" s="68">
        <f t="shared" si="11"/>
        <v>138776.625</v>
      </c>
      <c r="J78" s="55">
        <f t="shared" si="15"/>
        <v>233443.4498225</v>
      </c>
      <c r="K78" s="145">
        <f t="shared" si="12"/>
        <v>286797.25</v>
      </c>
      <c r="L78" s="146">
        <f t="shared" si="12"/>
        <v>360311.66241125006</v>
      </c>
      <c r="M78" s="147">
        <f t="shared" si="12"/>
        <v>475250.0748225</v>
      </c>
      <c r="N78" s="148">
        <f t="shared" si="12"/>
        <v>714188.28741125006</v>
      </c>
      <c r="O78" s="156">
        <v>138.5</v>
      </c>
      <c r="P78" s="156">
        <f t="shared" ref="P78:P81" si="18">$P$82-1200</f>
        <v>6150</v>
      </c>
      <c r="Q78" s="153">
        <v>1210</v>
      </c>
      <c r="R78" s="153">
        <f t="shared" si="17"/>
        <v>10250</v>
      </c>
      <c r="S78" s="153">
        <v>6</v>
      </c>
      <c r="T78" s="153"/>
      <c r="U78" s="153"/>
    </row>
    <row r="79" spans="1:21">
      <c r="A79" s="149" t="s">
        <v>92</v>
      </c>
      <c r="B79" s="149"/>
      <c r="C79" s="140">
        <f t="shared" si="16"/>
        <v>93716</v>
      </c>
      <c r="D79" s="49">
        <f t="shared" si="13"/>
        <v>158342.70856</v>
      </c>
      <c r="E79" s="141">
        <f t="shared" si="14"/>
        <v>196676</v>
      </c>
      <c r="F79" s="142">
        <f t="shared" si="14"/>
        <v>255170.35428</v>
      </c>
      <c r="G79" s="143">
        <f t="shared" si="14"/>
        <v>355088.70855999994</v>
      </c>
      <c r="H79" s="144">
        <f t="shared" si="14"/>
        <v>563986.35428000009</v>
      </c>
      <c r="I79" s="68">
        <f t="shared" si="11"/>
        <v>140574</v>
      </c>
      <c r="J79" s="55">
        <f t="shared" si="15"/>
        <v>236439.06284</v>
      </c>
      <c r="K79" s="145">
        <f t="shared" si="12"/>
        <v>290392</v>
      </c>
      <c r="L79" s="146">
        <f t="shared" si="12"/>
        <v>364505.53142000001</v>
      </c>
      <c r="M79" s="147">
        <f t="shared" si="12"/>
        <v>480043.06283999997</v>
      </c>
      <c r="N79" s="148">
        <f t="shared" si="12"/>
        <v>720179.53142000001</v>
      </c>
      <c r="O79" s="156">
        <v>142.5</v>
      </c>
      <c r="P79" s="156">
        <f t="shared" si="18"/>
        <v>6150</v>
      </c>
      <c r="Q79" s="153">
        <v>1540</v>
      </c>
      <c r="R79" s="153">
        <f t="shared" si="17"/>
        <v>10250</v>
      </c>
      <c r="S79" s="153">
        <v>6</v>
      </c>
      <c r="T79" s="153"/>
      <c r="U79" s="153"/>
    </row>
    <row r="80" spans="1:21">
      <c r="A80" s="149" t="s">
        <v>93</v>
      </c>
      <c r="B80" s="149"/>
      <c r="C80" s="140">
        <f t="shared" si="16"/>
        <v>94914.25</v>
      </c>
      <c r="D80" s="49">
        <f t="shared" si="13"/>
        <v>160339.78390499999</v>
      </c>
      <c r="E80" s="141">
        <f t="shared" si="14"/>
        <v>199072.5</v>
      </c>
      <c r="F80" s="142">
        <f t="shared" si="14"/>
        <v>257966.26695250001</v>
      </c>
      <c r="G80" s="143">
        <f t="shared" si="14"/>
        <v>358284.03390499996</v>
      </c>
      <c r="H80" s="144">
        <f t="shared" si="14"/>
        <v>567980.51695249998</v>
      </c>
      <c r="I80" s="68">
        <f t="shared" si="11"/>
        <v>142371.375</v>
      </c>
      <c r="J80" s="55">
        <f t="shared" si="15"/>
        <v>239434.6758575</v>
      </c>
      <c r="K80" s="145">
        <f t="shared" si="12"/>
        <v>293986.75</v>
      </c>
      <c r="L80" s="146">
        <f t="shared" si="12"/>
        <v>368699.40042875003</v>
      </c>
      <c r="M80" s="147">
        <f t="shared" si="12"/>
        <v>484836.0508575</v>
      </c>
      <c r="N80" s="148">
        <f t="shared" si="12"/>
        <v>726170.77542875009</v>
      </c>
      <c r="O80" s="156">
        <v>146.5</v>
      </c>
      <c r="P80" s="156">
        <f t="shared" si="18"/>
        <v>6150</v>
      </c>
      <c r="Q80" s="153">
        <v>1870</v>
      </c>
      <c r="R80" s="153">
        <f t="shared" si="17"/>
        <v>10250</v>
      </c>
      <c r="S80" s="153">
        <v>6</v>
      </c>
      <c r="T80" s="153"/>
      <c r="U80" s="153"/>
    </row>
    <row r="81" spans="1:21">
      <c r="A81" s="149" t="s">
        <v>94</v>
      </c>
      <c r="B81" s="149"/>
      <c r="C81" s="140">
        <f t="shared" si="16"/>
        <v>96112.5</v>
      </c>
      <c r="D81" s="49">
        <f t="shared" si="13"/>
        <v>162336.85925000001</v>
      </c>
      <c r="E81" s="141">
        <f t="shared" si="14"/>
        <v>201469</v>
      </c>
      <c r="F81" s="142">
        <f t="shared" si="14"/>
        <v>260762.17962500002</v>
      </c>
      <c r="G81" s="143">
        <f t="shared" si="14"/>
        <v>361479.35924999998</v>
      </c>
      <c r="H81" s="144">
        <f t="shared" si="14"/>
        <v>571974.67962499999</v>
      </c>
      <c r="I81" s="68">
        <f t="shared" si="11"/>
        <v>144168.75</v>
      </c>
      <c r="J81" s="55">
        <f t="shared" si="15"/>
        <v>242430.28887500003</v>
      </c>
      <c r="K81" s="145">
        <f t="shared" si="12"/>
        <v>297581.5</v>
      </c>
      <c r="L81" s="146">
        <f t="shared" si="12"/>
        <v>372893.26943750004</v>
      </c>
      <c r="M81" s="147">
        <f t="shared" si="12"/>
        <v>489629.03887499997</v>
      </c>
      <c r="N81" s="148">
        <f t="shared" si="12"/>
        <v>732162.01943750004</v>
      </c>
      <c r="O81" s="156">
        <v>150.5</v>
      </c>
      <c r="P81" s="156">
        <f t="shared" si="18"/>
        <v>6150</v>
      </c>
      <c r="Q81" s="153">
        <v>2200</v>
      </c>
      <c r="R81" s="153">
        <f t="shared" si="17"/>
        <v>10250</v>
      </c>
      <c r="S81" s="153">
        <v>6</v>
      </c>
      <c r="T81" s="153"/>
      <c r="U81" s="153"/>
    </row>
    <row r="82" spans="1:21">
      <c r="A82" s="149" t="s">
        <v>95</v>
      </c>
      <c r="B82" s="149"/>
      <c r="C82" s="140">
        <f t="shared" si="16"/>
        <v>110990</v>
      </c>
      <c r="D82" s="49">
        <f t="shared" si="13"/>
        <v>187132.59340000001</v>
      </c>
      <c r="E82" s="141">
        <f t="shared" si="14"/>
        <v>231224</v>
      </c>
      <c r="F82" s="142">
        <f t="shared" si="14"/>
        <v>295476.29670000001</v>
      </c>
      <c r="G82" s="143">
        <f t="shared" si="14"/>
        <v>401152.59339999995</v>
      </c>
      <c r="H82" s="144">
        <f t="shared" si="14"/>
        <v>621566.29670000006</v>
      </c>
      <c r="I82" s="68">
        <f t="shared" si="11"/>
        <v>166485</v>
      </c>
      <c r="J82" s="55">
        <f t="shared" si="15"/>
        <v>279623.89010000002</v>
      </c>
      <c r="K82" s="145">
        <f t="shared" si="12"/>
        <v>342214</v>
      </c>
      <c r="L82" s="146">
        <f t="shared" si="12"/>
        <v>424964.44504999998</v>
      </c>
      <c r="M82" s="147">
        <f t="shared" si="12"/>
        <v>549138.89009999996</v>
      </c>
      <c r="N82" s="148">
        <f t="shared" si="12"/>
        <v>806549.44504999998</v>
      </c>
      <c r="O82" s="156">
        <v>155</v>
      </c>
      <c r="P82" s="153">
        <v>7350</v>
      </c>
      <c r="Q82" s="153">
        <v>3400</v>
      </c>
      <c r="R82" s="153">
        <f t="shared" si="17"/>
        <v>12250</v>
      </c>
      <c r="S82" s="153">
        <v>6</v>
      </c>
      <c r="T82" s="153"/>
      <c r="U82" s="153"/>
    </row>
    <row r="83" spans="1:21">
      <c r="A83" s="149" t="s">
        <v>96</v>
      </c>
      <c r="B83" s="149"/>
      <c r="C83" s="140">
        <f t="shared" si="16"/>
        <v>113623.5</v>
      </c>
      <c r="D83" s="49">
        <f t="shared" si="13"/>
        <v>191521.74251000001</v>
      </c>
      <c r="E83" s="141">
        <f t="shared" si="14"/>
        <v>236491</v>
      </c>
      <c r="F83" s="142">
        <f t="shared" si="14"/>
        <v>301621.12125500001</v>
      </c>
      <c r="G83" s="143">
        <f t="shared" si="14"/>
        <v>408175.24250999995</v>
      </c>
      <c r="H83" s="144">
        <f t="shared" si="14"/>
        <v>630344.62125500001</v>
      </c>
      <c r="I83" s="68">
        <f t="shared" si="11"/>
        <v>170435.25</v>
      </c>
      <c r="J83" s="55">
        <f t="shared" si="15"/>
        <v>286207.61376500002</v>
      </c>
      <c r="K83" s="145">
        <f t="shared" si="12"/>
        <v>350114.5</v>
      </c>
      <c r="L83" s="146">
        <f t="shared" si="12"/>
        <v>434181.68188250001</v>
      </c>
      <c r="M83" s="147">
        <f t="shared" si="12"/>
        <v>559672.8637649999</v>
      </c>
      <c r="N83" s="148">
        <f t="shared" si="12"/>
        <v>819716.93188249995</v>
      </c>
      <c r="O83" s="156">
        <v>159.5</v>
      </c>
      <c r="P83" s="153">
        <v>7350</v>
      </c>
      <c r="Q83" s="153">
        <v>4760</v>
      </c>
      <c r="R83" s="153">
        <f t="shared" si="17"/>
        <v>12250</v>
      </c>
      <c r="S83" s="153">
        <v>6</v>
      </c>
      <c r="T83" s="153"/>
      <c r="U83" s="153"/>
    </row>
    <row r="84" spans="1:21">
      <c r="A84" s="149" t="s">
        <v>97</v>
      </c>
      <c r="B84" s="149"/>
      <c r="C84" s="140">
        <f t="shared" si="16"/>
        <v>116257</v>
      </c>
      <c r="D84" s="49">
        <f t="shared" si="13"/>
        <v>195910.89162000001</v>
      </c>
      <c r="E84" s="141">
        <f t="shared" si="14"/>
        <v>241758</v>
      </c>
      <c r="F84" s="142">
        <f t="shared" si="14"/>
        <v>307765.94581</v>
      </c>
      <c r="G84" s="143">
        <f t="shared" si="14"/>
        <v>415197.89161999995</v>
      </c>
      <c r="H84" s="144">
        <f t="shared" si="14"/>
        <v>639122.94580999995</v>
      </c>
      <c r="I84" s="68">
        <f t="shared" si="11"/>
        <v>174385.5</v>
      </c>
      <c r="J84" s="55">
        <f t="shared" si="15"/>
        <v>292791.33743000001</v>
      </c>
      <c r="K84" s="145">
        <f t="shared" si="12"/>
        <v>358015</v>
      </c>
      <c r="L84" s="146">
        <f t="shared" si="12"/>
        <v>443398.91871500004</v>
      </c>
      <c r="M84" s="147">
        <f t="shared" si="12"/>
        <v>570206.83742999996</v>
      </c>
      <c r="N84" s="148">
        <f t="shared" si="12"/>
        <v>832884.41871500004</v>
      </c>
      <c r="O84" s="156">
        <v>164</v>
      </c>
      <c r="P84" s="153">
        <v>7350</v>
      </c>
      <c r="Q84" s="153">
        <v>6120</v>
      </c>
      <c r="R84" s="153">
        <f t="shared" si="17"/>
        <v>12250</v>
      </c>
      <c r="S84" s="153">
        <v>6</v>
      </c>
      <c r="T84" s="153"/>
      <c r="U84" s="153"/>
    </row>
    <row r="85" spans="1:21">
      <c r="A85" s="149" t="s">
        <v>98</v>
      </c>
      <c r="B85" s="149"/>
      <c r="C85" s="140">
        <f t="shared" si="16"/>
        <v>118890.5</v>
      </c>
      <c r="D85" s="49">
        <f t="shared" si="13"/>
        <v>200300.04073000001</v>
      </c>
      <c r="E85" s="141">
        <f t="shared" si="14"/>
        <v>247025</v>
      </c>
      <c r="F85" s="142">
        <f t="shared" si="14"/>
        <v>313910.770365</v>
      </c>
      <c r="G85" s="143">
        <f t="shared" si="14"/>
        <v>422220.54072999995</v>
      </c>
      <c r="H85" s="144">
        <f t="shared" si="14"/>
        <v>647901.270365</v>
      </c>
      <c r="I85" s="68">
        <f t="shared" si="11"/>
        <v>178335.75</v>
      </c>
      <c r="J85" s="55">
        <f t="shared" si="15"/>
        <v>299375.06109500001</v>
      </c>
      <c r="K85" s="145">
        <f t="shared" si="12"/>
        <v>365915.5</v>
      </c>
      <c r="L85" s="146">
        <f t="shared" si="12"/>
        <v>452616.15554750001</v>
      </c>
      <c r="M85" s="147">
        <f t="shared" si="12"/>
        <v>580740.8110949999</v>
      </c>
      <c r="N85" s="148">
        <f t="shared" si="12"/>
        <v>846051.90554750001</v>
      </c>
      <c r="O85" s="156">
        <v>168.5</v>
      </c>
      <c r="P85" s="153">
        <v>7350</v>
      </c>
      <c r="Q85" s="153">
        <v>7480</v>
      </c>
      <c r="R85" s="153">
        <f t="shared" si="17"/>
        <v>12250</v>
      </c>
      <c r="S85" s="153">
        <v>6</v>
      </c>
      <c r="T85" s="153"/>
      <c r="U85" s="153"/>
    </row>
    <row r="86" spans="1:21">
      <c r="A86" s="149" t="s">
        <v>99</v>
      </c>
      <c r="B86" s="149"/>
      <c r="C86" s="140">
        <f t="shared" si="16"/>
        <v>121631.5</v>
      </c>
      <c r="D86" s="49">
        <f t="shared" si="13"/>
        <v>204868.35579</v>
      </c>
      <c r="E86" s="141">
        <f t="shared" si="14"/>
        <v>252507</v>
      </c>
      <c r="F86" s="142">
        <f t="shared" si="14"/>
        <v>320306.42789500003</v>
      </c>
      <c r="G86" s="143">
        <f t="shared" si="14"/>
        <v>429529.85579</v>
      </c>
      <c r="H86" s="144">
        <f t="shared" si="14"/>
        <v>657037.92789499997</v>
      </c>
      <c r="I86" s="68">
        <f t="shared" si="11"/>
        <v>182447.25</v>
      </c>
      <c r="J86" s="55">
        <f t="shared" si="15"/>
        <v>306227.53368500003</v>
      </c>
      <c r="K86" s="145">
        <f t="shared" si="12"/>
        <v>374138.5</v>
      </c>
      <c r="L86" s="146">
        <f t="shared" si="12"/>
        <v>462209.64184250007</v>
      </c>
      <c r="M86" s="147">
        <f t="shared" si="12"/>
        <v>591704.78368500003</v>
      </c>
      <c r="N86" s="148">
        <f t="shared" si="12"/>
        <v>859756.89184250007</v>
      </c>
      <c r="O86" s="156">
        <v>173.5</v>
      </c>
      <c r="P86" s="153">
        <v>7350</v>
      </c>
      <c r="Q86" s="153">
        <v>8840</v>
      </c>
      <c r="R86" s="153">
        <f t="shared" si="17"/>
        <v>12250</v>
      </c>
      <c r="S86" s="153">
        <v>6</v>
      </c>
      <c r="T86" s="153"/>
      <c r="U86" s="153"/>
    </row>
    <row r="87" spans="1:21">
      <c r="A87" s="149" t="s">
        <v>100</v>
      </c>
      <c r="B87" s="149"/>
      <c r="C87" s="140">
        <f t="shared" si="16"/>
        <v>129569.16666666666</v>
      </c>
      <c r="D87" s="49">
        <f t="shared" si="13"/>
        <v>218097.74731666665</v>
      </c>
      <c r="E87" s="141">
        <f t="shared" si="14"/>
        <v>268382.33333333331</v>
      </c>
      <c r="F87" s="142">
        <f t="shared" si="14"/>
        <v>338827.62365833332</v>
      </c>
      <c r="G87" s="143">
        <f t="shared" si="14"/>
        <v>450696.91398333327</v>
      </c>
      <c r="H87" s="144">
        <f t="shared" si="14"/>
        <v>683496.79032499995</v>
      </c>
      <c r="I87" s="68">
        <f t="shared" si="11"/>
        <v>194353.75</v>
      </c>
      <c r="J87" s="55">
        <f t="shared" si="15"/>
        <v>326071.62097499997</v>
      </c>
      <c r="K87" s="145">
        <f t="shared" si="12"/>
        <v>397951.5</v>
      </c>
      <c r="L87" s="146">
        <f t="shared" si="12"/>
        <v>489991.43548749998</v>
      </c>
      <c r="M87" s="147">
        <f t="shared" si="12"/>
        <v>623455.37097499985</v>
      </c>
      <c r="N87" s="148">
        <f t="shared" si="12"/>
        <v>899445.18548750004</v>
      </c>
      <c r="O87" s="157">
        <v>178.5</v>
      </c>
      <c r="P87" s="153">
        <v>7750</v>
      </c>
      <c r="Q87" s="153">
        <v>10600</v>
      </c>
      <c r="R87" s="153">
        <f t="shared" si="17"/>
        <v>12916.666666666666</v>
      </c>
      <c r="S87" s="153">
        <v>6</v>
      </c>
      <c r="T87" s="153"/>
      <c r="U87" s="153"/>
    </row>
    <row r="88" spans="1:21">
      <c r="A88" s="149" t="s">
        <v>101</v>
      </c>
      <c r="B88" s="149"/>
      <c r="C88" s="140">
        <f t="shared" si="16"/>
        <v>143435.83333333331</v>
      </c>
      <c r="D88" s="49">
        <f t="shared" si="13"/>
        <v>241208.76598333332</v>
      </c>
      <c r="E88" s="141">
        <f t="shared" si="14"/>
        <v>296115.66666666663</v>
      </c>
      <c r="F88" s="142">
        <f t="shared" si="14"/>
        <v>371183.13299166661</v>
      </c>
      <c r="G88" s="143">
        <f t="shared" si="14"/>
        <v>487674.5993166666</v>
      </c>
      <c r="H88" s="144">
        <f t="shared" si="14"/>
        <v>729718.96632499993</v>
      </c>
      <c r="I88" s="68">
        <f t="shared" si="11"/>
        <v>215153.74999999997</v>
      </c>
      <c r="J88" s="55">
        <f t="shared" si="15"/>
        <v>360738.14897499996</v>
      </c>
      <c r="K88" s="145">
        <f t="shared" si="15"/>
        <v>439551.49999999994</v>
      </c>
      <c r="L88" s="146">
        <f t="shared" si="15"/>
        <v>538524.69948749989</v>
      </c>
      <c r="M88" s="147">
        <f t="shared" si="15"/>
        <v>678921.8989749999</v>
      </c>
      <c r="N88" s="148">
        <f t="shared" si="15"/>
        <v>968778.44948749989</v>
      </c>
      <c r="O88" s="157">
        <v>183.5</v>
      </c>
      <c r="P88" s="153">
        <v>8500</v>
      </c>
      <c r="Q88" s="153">
        <v>13400</v>
      </c>
      <c r="R88" s="153">
        <f t="shared" si="17"/>
        <v>14166.666666666666</v>
      </c>
      <c r="S88" s="153">
        <v>6</v>
      </c>
      <c r="T88" s="153"/>
      <c r="U88" s="153"/>
    </row>
    <row r="89" spans="1:21">
      <c r="A89" s="149" t="s">
        <v>102</v>
      </c>
      <c r="B89" s="149"/>
      <c r="C89" s="140">
        <f t="shared" si="16"/>
        <v>148585</v>
      </c>
      <c r="D89" s="49">
        <f t="shared" si="13"/>
        <v>249790.67610000001</v>
      </c>
      <c r="E89" s="141">
        <f t="shared" si="14"/>
        <v>306414</v>
      </c>
      <c r="F89" s="142">
        <f t="shared" si="14"/>
        <v>383197.83805000002</v>
      </c>
      <c r="G89" s="143">
        <f t="shared" si="14"/>
        <v>501405.67609999998</v>
      </c>
      <c r="H89" s="144">
        <f t="shared" si="14"/>
        <v>746882.83805000002</v>
      </c>
      <c r="I89" s="68">
        <f t="shared" si="11"/>
        <v>222877.5</v>
      </c>
      <c r="J89" s="55">
        <f t="shared" si="15"/>
        <v>373611.01415</v>
      </c>
      <c r="K89" s="145">
        <f t="shared" si="15"/>
        <v>454999</v>
      </c>
      <c r="L89" s="146">
        <f t="shared" si="15"/>
        <v>556546.75707500009</v>
      </c>
      <c r="M89" s="147">
        <f t="shared" si="15"/>
        <v>699518.51414999994</v>
      </c>
      <c r="N89" s="148">
        <f t="shared" si="15"/>
        <v>994524.25707500009</v>
      </c>
      <c r="O89" s="157">
        <v>189</v>
      </c>
      <c r="P89" s="153">
        <v>8500</v>
      </c>
      <c r="Q89" s="153">
        <v>16200</v>
      </c>
      <c r="R89" s="153">
        <f t="shared" si="17"/>
        <v>14166.666666666666</v>
      </c>
      <c r="S89" s="153">
        <v>6</v>
      </c>
      <c r="T89" s="153"/>
      <c r="U89" s="153"/>
    </row>
    <row r="90" spans="1:21">
      <c r="A90" s="149" t="s">
        <v>103</v>
      </c>
      <c r="B90" s="149"/>
      <c r="C90" s="140">
        <f t="shared" si="16"/>
        <v>153734.16666666666</v>
      </c>
      <c r="D90" s="49">
        <f t="shared" si="13"/>
        <v>258372.58621666665</v>
      </c>
      <c r="E90" s="141">
        <f t="shared" si="14"/>
        <v>316712.33333333331</v>
      </c>
      <c r="F90" s="142">
        <f t="shared" si="14"/>
        <v>395212.54310833331</v>
      </c>
      <c r="G90" s="143">
        <f t="shared" si="14"/>
        <v>515136.75288333331</v>
      </c>
      <c r="H90" s="144">
        <f t="shared" si="14"/>
        <v>764046.709775</v>
      </c>
      <c r="I90" s="68">
        <f t="shared" si="11"/>
        <v>230601.25</v>
      </c>
      <c r="J90" s="55">
        <f t="shared" si="15"/>
        <v>386483.87932499999</v>
      </c>
      <c r="K90" s="145">
        <f t="shared" si="15"/>
        <v>470446.5</v>
      </c>
      <c r="L90" s="146">
        <f t="shared" si="15"/>
        <v>574568.81466249994</v>
      </c>
      <c r="M90" s="147">
        <f t="shared" si="15"/>
        <v>720115.12932499999</v>
      </c>
      <c r="N90" s="148">
        <f t="shared" si="15"/>
        <v>1020270.0646625001</v>
      </c>
      <c r="O90" s="157">
        <v>194.5</v>
      </c>
      <c r="P90" s="153">
        <v>8500</v>
      </c>
      <c r="Q90" s="153">
        <v>19000</v>
      </c>
      <c r="R90" s="153">
        <f t="shared" si="17"/>
        <v>14166.666666666666</v>
      </c>
      <c r="S90" s="153">
        <v>6</v>
      </c>
      <c r="T90" s="153"/>
      <c r="U90" s="153"/>
    </row>
    <row r="91" spans="1:21">
      <c r="A91" s="149" t="s">
        <v>104</v>
      </c>
      <c r="B91" s="149"/>
      <c r="C91" s="140">
        <f t="shared" si="16"/>
        <v>159025</v>
      </c>
      <c r="D91" s="49">
        <f t="shared" si="13"/>
        <v>267190.60649999999</v>
      </c>
      <c r="E91" s="141">
        <f t="shared" si="14"/>
        <v>327294</v>
      </c>
      <c r="F91" s="142">
        <f t="shared" si="14"/>
        <v>407557.80325</v>
      </c>
      <c r="G91" s="143">
        <f t="shared" si="14"/>
        <v>529245.60649999999</v>
      </c>
      <c r="H91" s="144">
        <f t="shared" si="14"/>
        <v>781682.80325</v>
      </c>
      <c r="I91" s="68">
        <f t="shared" si="11"/>
        <v>238537.5</v>
      </c>
      <c r="J91" s="55">
        <f t="shared" si="15"/>
        <v>399710.90974999999</v>
      </c>
      <c r="K91" s="145">
        <f t="shared" si="15"/>
        <v>486319</v>
      </c>
      <c r="L91" s="146">
        <f t="shared" si="15"/>
        <v>593086.70487500005</v>
      </c>
      <c r="M91" s="147">
        <f t="shared" si="15"/>
        <v>741278.40974999999</v>
      </c>
      <c r="N91" s="148">
        <f t="shared" si="15"/>
        <v>1046724.2048750001</v>
      </c>
      <c r="O91" s="153">
        <v>200</v>
      </c>
      <c r="P91" s="153">
        <v>8500</v>
      </c>
      <c r="Q91" s="153">
        <v>21900</v>
      </c>
      <c r="R91" s="153">
        <f>P91*10/6</f>
        <v>14166.666666666666</v>
      </c>
      <c r="S91" s="153">
        <v>6</v>
      </c>
      <c r="T91" s="153"/>
      <c r="U91" s="153"/>
    </row>
    <row r="92" spans="1:21">
      <c r="A92" s="149" t="s">
        <v>105</v>
      </c>
      <c r="B92" s="149"/>
      <c r="C92" s="140">
        <f t="shared" si="16"/>
        <v>187290</v>
      </c>
      <c r="D92" s="49">
        <f t="shared" si="13"/>
        <v>314298.75140000001</v>
      </c>
      <c r="E92" s="141">
        <f t="shared" si="14"/>
        <v>383824</v>
      </c>
      <c r="F92" s="142">
        <f t="shared" si="14"/>
        <v>473509.37570000003</v>
      </c>
      <c r="G92" s="143">
        <f t="shared" si="14"/>
        <v>604618.75139999995</v>
      </c>
      <c r="H92" s="144">
        <f t="shared" si="14"/>
        <v>875899.37569999998</v>
      </c>
      <c r="I92" s="68">
        <f t="shared" si="11"/>
        <v>280935</v>
      </c>
      <c r="J92" s="55">
        <f t="shared" si="15"/>
        <v>470373.12710000004</v>
      </c>
      <c r="K92" s="145">
        <f t="shared" si="15"/>
        <v>571114</v>
      </c>
      <c r="L92" s="146">
        <f t="shared" si="15"/>
        <v>692014.06355000008</v>
      </c>
      <c r="M92" s="147">
        <f t="shared" si="15"/>
        <v>854338.12709999993</v>
      </c>
      <c r="N92" s="148">
        <f t="shared" si="15"/>
        <v>1188049.0635500001</v>
      </c>
      <c r="O92" s="153">
        <v>206</v>
      </c>
      <c r="P92" s="153">
        <v>9750</v>
      </c>
      <c r="Q92" s="153">
        <v>28000</v>
      </c>
      <c r="R92" s="153">
        <f t="shared" si="17"/>
        <v>16250</v>
      </c>
      <c r="S92" s="153">
        <v>6</v>
      </c>
      <c r="T92" s="153"/>
      <c r="U92" s="153"/>
    </row>
    <row r="93" spans="1:21">
      <c r="A93" s="149" t="s">
        <v>106</v>
      </c>
      <c r="B93" s="149"/>
      <c r="C93" s="140">
        <f t="shared" si="16"/>
        <v>195080</v>
      </c>
      <c r="D93" s="49">
        <f t="shared" si="13"/>
        <v>327282.03279999999</v>
      </c>
      <c r="E93" s="141">
        <f t="shared" si="14"/>
        <v>399404</v>
      </c>
      <c r="F93" s="142">
        <f t="shared" si="14"/>
        <v>491686.01640000002</v>
      </c>
      <c r="G93" s="143">
        <f t="shared" si="14"/>
        <v>625392.03279999993</v>
      </c>
      <c r="H93" s="144">
        <f t="shared" si="14"/>
        <v>901866.01640000008</v>
      </c>
      <c r="I93" s="68">
        <f t="shared" si="11"/>
        <v>292620</v>
      </c>
      <c r="J93" s="55">
        <f t="shared" si="15"/>
        <v>489848.04920000001</v>
      </c>
      <c r="K93" s="145">
        <f t="shared" si="15"/>
        <v>594484</v>
      </c>
      <c r="L93" s="146">
        <f t="shared" si="15"/>
        <v>719279.0246</v>
      </c>
      <c r="M93" s="147">
        <f t="shared" si="15"/>
        <v>885498.04920000001</v>
      </c>
      <c r="N93" s="148">
        <f t="shared" si="15"/>
        <v>1226999.0246000001</v>
      </c>
      <c r="O93" s="153">
        <v>212</v>
      </c>
      <c r="P93" s="153">
        <v>9750</v>
      </c>
      <c r="Q93" s="153">
        <v>32000</v>
      </c>
      <c r="R93" s="153">
        <f t="shared" si="17"/>
        <v>16250</v>
      </c>
      <c r="S93" s="153">
        <v>6</v>
      </c>
      <c r="T93" s="153"/>
      <c r="U93" s="153"/>
    </row>
    <row r="94" spans="1:21">
      <c r="A94" s="149" t="s">
        <v>107</v>
      </c>
      <c r="B94" s="149"/>
      <c r="C94" s="140">
        <f t="shared" si="16"/>
        <v>202870</v>
      </c>
      <c r="D94" s="49">
        <f t="shared" si="13"/>
        <v>340265.31420000002</v>
      </c>
      <c r="E94" s="141">
        <f t="shared" si="14"/>
        <v>414984</v>
      </c>
      <c r="F94" s="142">
        <f t="shared" si="14"/>
        <v>509862.65710000001</v>
      </c>
      <c r="G94" s="143">
        <f t="shared" si="14"/>
        <v>646165.31419999991</v>
      </c>
      <c r="H94" s="144">
        <f t="shared" si="14"/>
        <v>927832.65710000007</v>
      </c>
      <c r="I94" s="68">
        <f t="shared" si="11"/>
        <v>304305</v>
      </c>
      <c r="J94" s="55">
        <f t="shared" si="15"/>
        <v>509322.97130000003</v>
      </c>
      <c r="K94" s="145">
        <f t="shared" si="15"/>
        <v>617854</v>
      </c>
      <c r="L94" s="146">
        <f t="shared" si="15"/>
        <v>746543.98565000005</v>
      </c>
      <c r="M94" s="147">
        <f t="shared" si="15"/>
        <v>916657.97129999986</v>
      </c>
      <c r="N94" s="148">
        <f t="shared" si="15"/>
        <v>1265948.9856500002</v>
      </c>
      <c r="O94" s="153">
        <v>218</v>
      </c>
      <c r="P94" s="153">
        <v>9750</v>
      </c>
      <c r="Q94" s="153">
        <v>36000</v>
      </c>
      <c r="R94" s="153">
        <f t="shared" si="17"/>
        <v>16250</v>
      </c>
      <c r="S94" s="153">
        <v>6</v>
      </c>
      <c r="T94" s="153"/>
      <c r="U94" s="153"/>
    </row>
    <row r="95" spans="1:21">
      <c r="A95" s="149" t="s">
        <v>108</v>
      </c>
      <c r="B95" s="149"/>
      <c r="C95" s="140">
        <f t="shared" si="16"/>
        <v>210660</v>
      </c>
      <c r="D95" s="49">
        <f t="shared" si="13"/>
        <v>353248.5956</v>
      </c>
      <c r="E95" s="141">
        <f t="shared" si="14"/>
        <v>430564</v>
      </c>
      <c r="F95" s="142">
        <f t="shared" si="14"/>
        <v>528039.29780000006</v>
      </c>
      <c r="G95" s="143">
        <f t="shared" si="14"/>
        <v>666938.5956</v>
      </c>
      <c r="H95" s="144">
        <f t="shared" si="14"/>
        <v>953799.29780000006</v>
      </c>
      <c r="I95" s="68">
        <f t="shared" si="11"/>
        <v>315990</v>
      </c>
      <c r="J95" s="55">
        <f t="shared" si="15"/>
        <v>528797.89339999994</v>
      </c>
      <c r="K95" s="145">
        <f t="shared" si="15"/>
        <v>641224</v>
      </c>
      <c r="L95" s="146">
        <f t="shared" si="15"/>
        <v>773808.94669999997</v>
      </c>
      <c r="M95" s="147">
        <f t="shared" si="15"/>
        <v>947817.89339999994</v>
      </c>
      <c r="N95" s="148">
        <f t="shared" si="15"/>
        <v>1304898.9467000002</v>
      </c>
      <c r="O95" s="153">
        <v>224</v>
      </c>
      <c r="P95" s="153">
        <v>9750</v>
      </c>
      <c r="Q95" s="153">
        <v>40000</v>
      </c>
      <c r="R95" s="153">
        <f t="shared" si="17"/>
        <v>16250</v>
      </c>
      <c r="S95" s="153">
        <v>6</v>
      </c>
      <c r="T95" s="153"/>
      <c r="U95" s="153"/>
    </row>
    <row r="96" spans="1:21">
      <c r="A96" s="149" t="s">
        <v>109</v>
      </c>
      <c r="B96" s="149"/>
      <c r="C96" s="140">
        <f t="shared" si="16"/>
        <v>218665</v>
      </c>
      <c r="D96" s="49">
        <f t="shared" si="13"/>
        <v>366590.20890000003</v>
      </c>
      <c r="E96" s="141">
        <f t="shared" si="14"/>
        <v>446574</v>
      </c>
      <c r="F96" s="142">
        <f t="shared" si="14"/>
        <v>546717.60444999998</v>
      </c>
      <c r="G96" s="143">
        <f t="shared" si="14"/>
        <v>688285.20889999997</v>
      </c>
      <c r="H96" s="144">
        <f t="shared" si="14"/>
        <v>980482.60444999998</v>
      </c>
      <c r="I96" s="68">
        <f t="shared" si="11"/>
        <v>327997.5</v>
      </c>
      <c r="J96" s="55">
        <f t="shared" si="15"/>
        <v>548810.31335000007</v>
      </c>
      <c r="K96" s="145">
        <f t="shared" si="15"/>
        <v>665239</v>
      </c>
      <c r="L96" s="146">
        <f t="shared" si="15"/>
        <v>801826.40667500009</v>
      </c>
      <c r="M96" s="147">
        <f t="shared" si="15"/>
        <v>979837.81334999995</v>
      </c>
      <c r="N96" s="148">
        <f t="shared" si="15"/>
        <v>1344923.906675</v>
      </c>
      <c r="O96" s="153">
        <v>231</v>
      </c>
      <c r="P96" s="153">
        <v>9750</v>
      </c>
      <c r="Q96" s="153">
        <v>44000</v>
      </c>
      <c r="R96" s="153">
        <f t="shared" si="17"/>
        <v>16250</v>
      </c>
      <c r="S96" s="153">
        <v>6</v>
      </c>
      <c r="T96" s="153"/>
      <c r="U96" s="153"/>
    </row>
    <row r="97" spans="1:21">
      <c r="A97" s="149" t="s">
        <v>110</v>
      </c>
      <c r="B97" s="149"/>
      <c r="C97" s="140">
        <f t="shared" si="16"/>
        <v>247925</v>
      </c>
      <c r="D97" s="49">
        <f t="shared" si="13"/>
        <v>415356.68050000002</v>
      </c>
      <c r="E97" s="141">
        <f t="shared" si="14"/>
        <v>505094</v>
      </c>
      <c r="F97" s="142">
        <f t="shared" si="14"/>
        <v>614990.84025000001</v>
      </c>
      <c r="G97" s="143">
        <f t="shared" si="14"/>
        <v>766311.6804999999</v>
      </c>
      <c r="H97" s="144">
        <f t="shared" si="14"/>
        <v>1078015.8402499999</v>
      </c>
      <c r="I97" s="68">
        <f t="shared" si="11"/>
        <v>371887.5</v>
      </c>
      <c r="J97" s="55">
        <f t="shared" si="15"/>
        <v>621960.02075000003</v>
      </c>
      <c r="K97" s="145">
        <f t="shared" si="15"/>
        <v>753019</v>
      </c>
      <c r="L97" s="146">
        <f t="shared" si="15"/>
        <v>904236.26037500007</v>
      </c>
      <c r="M97" s="147">
        <f t="shared" si="15"/>
        <v>1096877.5207499999</v>
      </c>
      <c r="N97" s="148">
        <f t="shared" si="15"/>
        <v>1491223.7603750001</v>
      </c>
      <c r="O97" s="153">
        <v>235</v>
      </c>
      <c r="P97" s="153">
        <v>10500</v>
      </c>
      <c r="Q97" s="153">
        <v>52800</v>
      </c>
      <c r="R97" s="153">
        <f t="shared" si="17"/>
        <v>17500</v>
      </c>
      <c r="S97" s="153">
        <v>6</v>
      </c>
      <c r="T97" s="153"/>
      <c r="U97" s="153"/>
    </row>
    <row r="98" spans="1:21">
      <c r="A98" s="149" t="s">
        <v>111</v>
      </c>
      <c r="B98" s="149"/>
      <c r="C98" s="140">
        <f t="shared" si="16"/>
        <v>258760</v>
      </c>
      <c r="D98" s="49">
        <f t="shared" si="13"/>
        <v>433414.94160000002</v>
      </c>
      <c r="E98" s="141">
        <f t="shared" si="14"/>
        <v>526764</v>
      </c>
      <c r="F98" s="142">
        <f t="shared" si="14"/>
        <v>640272.47080000001</v>
      </c>
      <c r="G98" s="143">
        <f t="shared" si="14"/>
        <v>795204.9415999999</v>
      </c>
      <c r="H98" s="144">
        <f t="shared" si="14"/>
        <v>1114132.4708</v>
      </c>
      <c r="I98" s="68">
        <f t="shared" si="11"/>
        <v>388140</v>
      </c>
      <c r="J98" s="55">
        <f t="shared" si="15"/>
        <v>649047.41240000003</v>
      </c>
      <c r="K98" s="145">
        <f t="shared" si="15"/>
        <v>785524</v>
      </c>
      <c r="L98" s="146">
        <f t="shared" si="15"/>
        <v>942158.70620000002</v>
      </c>
      <c r="M98" s="147">
        <f t="shared" si="15"/>
        <v>1140217.4123999998</v>
      </c>
      <c r="N98" s="148">
        <f t="shared" si="15"/>
        <v>1545398.7061999999</v>
      </c>
      <c r="O98" s="153">
        <v>239</v>
      </c>
      <c r="P98" s="153">
        <v>10500</v>
      </c>
      <c r="Q98" s="153">
        <v>58500</v>
      </c>
      <c r="R98" s="153">
        <f t="shared" si="17"/>
        <v>17500</v>
      </c>
      <c r="S98" s="153">
        <v>6</v>
      </c>
      <c r="T98" s="153"/>
      <c r="U98" s="153"/>
    </row>
    <row r="99" spans="1:21">
      <c r="A99" s="149" t="s">
        <v>112</v>
      </c>
      <c r="B99" s="149"/>
      <c r="C99" s="140">
        <f t="shared" si="16"/>
        <v>274970</v>
      </c>
      <c r="D99" s="49">
        <f t="shared" si="13"/>
        <v>460431.50020000001</v>
      </c>
      <c r="E99" s="141">
        <f t="shared" si="14"/>
        <v>559184</v>
      </c>
      <c r="F99" s="142">
        <f t="shared" si="14"/>
        <v>678095.75010000006</v>
      </c>
      <c r="G99" s="143">
        <f t="shared" si="14"/>
        <v>838431.50019999989</v>
      </c>
      <c r="H99" s="144">
        <f t="shared" si="14"/>
        <v>1168165.7501000001</v>
      </c>
      <c r="I99" s="68">
        <f t="shared" si="11"/>
        <v>412455</v>
      </c>
      <c r="J99" s="55">
        <f t="shared" si="15"/>
        <v>689572.25029999996</v>
      </c>
      <c r="K99" s="145">
        <f t="shared" si="15"/>
        <v>834154</v>
      </c>
      <c r="L99" s="146">
        <f t="shared" si="15"/>
        <v>998893.62515000009</v>
      </c>
      <c r="M99" s="147">
        <f t="shared" si="15"/>
        <v>1205057.2503</v>
      </c>
      <c r="N99" s="148">
        <f t="shared" si="15"/>
        <v>1626448.6251500002</v>
      </c>
      <c r="O99" s="153">
        <v>268</v>
      </c>
      <c r="P99" s="153">
        <v>10500</v>
      </c>
      <c r="Q99" s="153">
        <v>64200</v>
      </c>
      <c r="R99" s="153">
        <f t="shared" si="17"/>
        <v>17500</v>
      </c>
      <c r="S99" s="153">
        <v>6</v>
      </c>
      <c r="T99" s="153"/>
      <c r="U99" s="153"/>
    </row>
    <row r="100" spans="1:21">
      <c r="A100" s="149" t="s">
        <v>113</v>
      </c>
      <c r="B100" s="149"/>
      <c r="C100" s="140">
        <f t="shared" si="16"/>
        <v>285912.5</v>
      </c>
      <c r="D100" s="49">
        <f t="shared" si="13"/>
        <v>478668.92725000001</v>
      </c>
      <c r="E100" s="141">
        <f t="shared" si="14"/>
        <v>581069</v>
      </c>
      <c r="F100" s="142">
        <f t="shared" si="14"/>
        <v>703628.21362500009</v>
      </c>
      <c r="G100" s="143">
        <f t="shared" si="14"/>
        <v>867611.42724999995</v>
      </c>
      <c r="H100" s="144">
        <f t="shared" si="14"/>
        <v>1204640.7136250001</v>
      </c>
      <c r="I100" s="68">
        <f t="shared" si="11"/>
        <v>428868.75</v>
      </c>
      <c r="J100" s="55">
        <f t="shared" si="15"/>
        <v>716928.39087500004</v>
      </c>
      <c r="K100" s="145">
        <f t="shared" si="15"/>
        <v>866981.5</v>
      </c>
      <c r="L100" s="146">
        <f t="shared" si="15"/>
        <v>1037192.3204375001</v>
      </c>
      <c r="M100" s="147">
        <f t="shared" si="15"/>
        <v>1248827.140875</v>
      </c>
      <c r="N100" s="148">
        <f t="shared" si="15"/>
        <v>1681161.0704375003</v>
      </c>
      <c r="O100" s="153">
        <v>272.5</v>
      </c>
      <c r="P100" s="153">
        <v>10500</v>
      </c>
      <c r="Q100" s="153">
        <v>69900</v>
      </c>
      <c r="R100" s="153">
        <f t="shared" si="17"/>
        <v>17500</v>
      </c>
      <c r="S100" s="153">
        <v>6</v>
      </c>
      <c r="T100" s="153"/>
      <c r="U100" s="153"/>
    </row>
    <row r="101" spans="1:21" ht="17.25" thickBot="1">
      <c r="A101" s="150" t="s">
        <v>114</v>
      </c>
      <c r="B101" s="151"/>
      <c r="C101" s="140">
        <f t="shared" si="16"/>
        <v>296747.5</v>
      </c>
      <c r="D101" s="49">
        <f t="shared" si="13"/>
        <v>496727.18835000001</v>
      </c>
      <c r="E101" s="141">
        <f t="shared" si="14"/>
        <v>602739</v>
      </c>
      <c r="F101" s="142">
        <f t="shared" si="14"/>
        <v>728909.84417500009</v>
      </c>
      <c r="G101" s="143">
        <f t="shared" si="14"/>
        <v>896504.68834999995</v>
      </c>
      <c r="H101" s="144">
        <f t="shared" si="14"/>
        <v>1240757.3441750002</v>
      </c>
      <c r="I101" s="68">
        <f t="shared" si="11"/>
        <v>445121.25</v>
      </c>
      <c r="J101" s="55">
        <f t="shared" si="15"/>
        <v>744015.78252500005</v>
      </c>
      <c r="K101" s="145">
        <f t="shared" si="15"/>
        <v>899486.5</v>
      </c>
      <c r="L101" s="146">
        <f t="shared" si="15"/>
        <v>1075114.7662625001</v>
      </c>
      <c r="M101" s="147">
        <f t="shared" si="15"/>
        <v>1292167.0325249999</v>
      </c>
      <c r="N101" s="148">
        <f t="shared" si="15"/>
        <v>1735336.0162625001</v>
      </c>
      <c r="O101" s="158">
        <f>O100+4</f>
        <v>276.5</v>
      </c>
      <c r="P101" s="153">
        <v>10500</v>
      </c>
      <c r="Q101" s="153">
        <v>75600</v>
      </c>
      <c r="R101" s="153">
        <f t="shared" si="17"/>
        <v>17500</v>
      </c>
      <c r="S101" s="153">
        <v>6</v>
      </c>
      <c r="T101" s="153"/>
      <c r="U101" s="153"/>
    </row>
    <row r="102" spans="1:21" ht="17.25" thickBot="1">
      <c r="A102" s="32" t="s">
        <v>18</v>
      </c>
      <c r="B102" s="33"/>
      <c r="C102" s="34" t="s">
        <v>11</v>
      </c>
      <c r="D102" s="35">
        <v>2150</v>
      </c>
      <c r="E102" s="36">
        <v>9244</v>
      </c>
      <c r="F102" s="37">
        <v>36500</v>
      </c>
      <c r="G102" s="38">
        <v>105180</v>
      </c>
      <c r="H102" s="39">
        <v>251600</v>
      </c>
      <c r="I102" s="40">
        <v>1.5</v>
      </c>
      <c r="J102" s="41">
        <v>1.66666</v>
      </c>
      <c r="K102" s="42">
        <v>2</v>
      </c>
      <c r="L102" s="43">
        <v>2.3333300000000001</v>
      </c>
      <c r="M102" s="44">
        <v>2.6666599999999998</v>
      </c>
      <c r="N102" s="45">
        <v>3.3333300000000001</v>
      </c>
      <c r="O102" s="158"/>
      <c r="P102" s="153"/>
      <c r="Q102" s="153"/>
      <c r="R102" s="153"/>
      <c r="S102" s="153"/>
      <c r="T102" s="153"/>
      <c r="U102" s="153"/>
    </row>
    <row r="103" spans="1:21">
      <c r="A103" s="149" t="s">
        <v>115</v>
      </c>
      <c r="B103" s="149"/>
      <c r="C103" s="140">
        <f>($L$71*O103)+(($C$3*0.03)*R103)/10000</f>
        <v>141865</v>
      </c>
      <c r="D103" s="49">
        <f t="shared" ref="D103:D117" si="19">IF(0=C$3,0,SUM(D$70,PRODUCT(C103,J$70)))</f>
        <v>238590.72090000001</v>
      </c>
      <c r="E103" s="141">
        <f t="shared" ref="E103:H117" si="20">IF(0=$C$3,0,SUM(E$70,PRODUCT($C103,K$70)))</f>
        <v>292974</v>
      </c>
      <c r="F103" s="142">
        <f t="shared" si="20"/>
        <v>367517.86045000004</v>
      </c>
      <c r="G103" s="143">
        <f t="shared" si="20"/>
        <v>483485.72089999996</v>
      </c>
      <c r="H103" s="144">
        <f t="shared" si="20"/>
        <v>724482.86045000004</v>
      </c>
      <c r="I103" s="68">
        <f t="shared" si="11"/>
        <v>212797.5</v>
      </c>
      <c r="J103" s="55">
        <f t="shared" si="15"/>
        <v>356811.08134999999</v>
      </c>
      <c r="K103" s="145">
        <f t="shared" si="15"/>
        <v>434839</v>
      </c>
      <c r="L103" s="146">
        <f t="shared" si="15"/>
        <v>533026.79067500005</v>
      </c>
      <c r="M103" s="147">
        <f t="shared" si="15"/>
        <v>672638.58134999988</v>
      </c>
      <c r="N103" s="148">
        <f t="shared" si="15"/>
        <v>960924.29067500005</v>
      </c>
      <c r="O103" s="153">
        <v>343</v>
      </c>
      <c r="P103" s="153">
        <v>6812</v>
      </c>
      <c r="Q103" s="153">
        <v>353</v>
      </c>
      <c r="R103" s="153">
        <f>P103*10/3</f>
        <v>22706.666666666668</v>
      </c>
      <c r="S103" s="153">
        <v>3</v>
      </c>
      <c r="T103" s="153"/>
      <c r="U103" s="153"/>
    </row>
    <row r="104" spans="1:21">
      <c r="A104" s="149" t="s">
        <v>116</v>
      </c>
      <c r="B104" s="149"/>
      <c r="C104" s="140">
        <f>($L$71*O104)+(($C$3*0.03)*R104)/10000</f>
        <v>147855</v>
      </c>
      <c r="D104" s="49">
        <f t="shared" si="19"/>
        <v>248574.01430000001</v>
      </c>
      <c r="E104" s="141">
        <f t="shared" si="20"/>
        <v>304954</v>
      </c>
      <c r="F104" s="142">
        <f t="shared" si="20"/>
        <v>381494.50715000002</v>
      </c>
      <c r="G104" s="143">
        <f t="shared" si="20"/>
        <v>499459.01429999998</v>
      </c>
      <c r="H104" s="144">
        <f t="shared" si="20"/>
        <v>744449.50714999996</v>
      </c>
      <c r="I104" s="68">
        <f t="shared" si="11"/>
        <v>221782.5</v>
      </c>
      <c r="J104" s="55">
        <f t="shared" si="15"/>
        <v>371786.02145</v>
      </c>
      <c r="K104" s="145">
        <f t="shared" si="15"/>
        <v>452809</v>
      </c>
      <c r="L104" s="146">
        <f t="shared" si="15"/>
        <v>553991.76072500006</v>
      </c>
      <c r="M104" s="147">
        <f t="shared" si="15"/>
        <v>696598.52145</v>
      </c>
      <c r="N104" s="148">
        <f t="shared" si="15"/>
        <v>990874.26072500006</v>
      </c>
      <c r="O104" s="153">
        <v>349</v>
      </c>
      <c r="P104" s="153">
        <v>7282</v>
      </c>
      <c r="Q104" s="153">
        <v>435</v>
      </c>
      <c r="R104" s="153">
        <f>P104*10/3</f>
        <v>24273.333333333332</v>
      </c>
      <c r="S104" s="153">
        <v>3</v>
      </c>
      <c r="T104" s="153"/>
      <c r="U104" s="153"/>
    </row>
    <row r="105" spans="1:21">
      <c r="A105" s="149" t="s">
        <v>117</v>
      </c>
      <c r="B105" s="149"/>
      <c r="C105" s="140">
        <f>($L$71*O105)+(($C$3*0.03)*R105)/10000</f>
        <v>150640</v>
      </c>
      <c r="D105" s="49">
        <f t="shared" si="19"/>
        <v>253215.6624</v>
      </c>
      <c r="E105" s="141">
        <f t="shared" si="20"/>
        <v>310524</v>
      </c>
      <c r="F105" s="142">
        <f t="shared" si="20"/>
        <v>387992.83120000002</v>
      </c>
      <c r="G105" s="143">
        <f t="shared" si="20"/>
        <v>506885.66239999997</v>
      </c>
      <c r="H105" s="144">
        <f t="shared" si="20"/>
        <v>753732.83120000002</v>
      </c>
      <c r="I105" s="68">
        <f t="shared" si="11"/>
        <v>225960</v>
      </c>
      <c r="J105" s="55">
        <f t="shared" si="15"/>
        <v>378748.49359999999</v>
      </c>
      <c r="K105" s="145">
        <f t="shared" si="15"/>
        <v>461164</v>
      </c>
      <c r="L105" s="146">
        <f t="shared" si="15"/>
        <v>563739.24680000008</v>
      </c>
      <c r="M105" s="147">
        <f t="shared" si="15"/>
        <v>707738.49359999993</v>
      </c>
      <c r="N105" s="148">
        <f t="shared" si="15"/>
        <v>1004799.2468000001</v>
      </c>
      <c r="O105" s="153">
        <v>356</v>
      </c>
      <c r="P105" s="153">
        <v>7410</v>
      </c>
      <c r="Q105" s="153">
        <v>475</v>
      </c>
      <c r="R105" s="153">
        <f>P105*10/3</f>
        <v>24700</v>
      </c>
      <c r="S105" s="153">
        <v>3</v>
      </c>
      <c r="T105" s="153"/>
      <c r="U105" s="153"/>
    </row>
    <row r="106" spans="1:21">
      <c r="A106" s="149" t="s">
        <v>118</v>
      </c>
      <c r="B106" s="149"/>
      <c r="C106" s="140">
        <f>($L$71*O106)+(($C$3*0.03)*R106)/10000</f>
        <v>153280</v>
      </c>
      <c r="D106" s="49">
        <f t="shared" si="19"/>
        <v>257615.64480000001</v>
      </c>
      <c r="E106" s="141">
        <f t="shared" si="20"/>
        <v>315804</v>
      </c>
      <c r="F106" s="142">
        <f t="shared" si="20"/>
        <v>394152.8224</v>
      </c>
      <c r="G106" s="143">
        <f t="shared" si="20"/>
        <v>513925.64479999995</v>
      </c>
      <c r="H106" s="144">
        <f t="shared" si="20"/>
        <v>762532.82239999995</v>
      </c>
      <c r="I106" s="68">
        <f t="shared" si="11"/>
        <v>229920</v>
      </c>
      <c r="J106" s="55">
        <f t="shared" si="15"/>
        <v>385348.46720000001</v>
      </c>
      <c r="K106" s="145">
        <f t="shared" si="15"/>
        <v>469084</v>
      </c>
      <c r="L106" s="146">
        <f t="shared" si="15"/>
        <v>572979.23360000004</v>
      </c>
      <c r="M106" s="147">
        <f t="shared" si="15"/>
        <v>718298.46719999996</v>
      </c>
      <c r="N106" s="148">
        <f t="shared" si="15"/>
        <v>1017999.2336</v>
      </c>
      <c r="O106" s="153">
        <v>362</v>
      </c>
      <c r="P106" s="153">
        <v>7545</v>
      </c>
      <c r="Q106" s="153">
        <v>1950</v>
      </c>
      <c r="R106" s="153">
        <f>P106*10/3</f>
        <v>25150</v>
      </c>
      <c r="S106" s="153">
        <v>3</v>
      </c>
      <c r="T106" s="153"/>
      <c r="U106" s="153"/>
    </row>
    <row r="107" spans="1:21">
      <c r="A107" s="149" t="s">
        <v>119</v>
      </c>
      <c r="B107" s="149"/>
      <c r="C107" s="140">
        <f>($L$71*O107)+(($C$3*0.03)*R107)/10000</f>
        <v>154895</v>
      </c>
      <c r="D107" s="49">
        <f t="shared" si="19"/>
        <v>260307.30069999999</v>
      </c>
      <c r="E107" s="141">
        <f t="shared" si="20"/>
        <v>319034</v>
      </c>
      <c r="F107" s="142">
        <f t="shared" si="20"/>
        <v>397921.15035000001</v>
      </c>
      <c r="G107" s="143">
        <f t="shared" si="20"/>
        <v>518232.30069999996</v>
      </c>
      <c r="H107" s="144">
        <f t="shared" si="20"/>
        <v>767916.15035000001</v>
      </c>
      <c r="I107" s="68">
        <f t="shared" si="11"/>
        <v>232342.5</v>
      </c>
      <c r="J107" s="55">
        <f t="shared" si="15"/>
        <v>389385.95104999997</v>
      </c>
      <c r="K107" s="145">
        <f t="shared" si="15"/>
        <v>473929</v>
      </c>
      <c r="L107" s="146">
        <f t="shared" si="15"/>
        <v>578631.72552500002</v>
      </c>
      <c r="M107" s="147">
        <f t="shared" si="15"/>
        <v>724758.45104999992</v>
      </c>
      <c r="N107" s="148">
        <f t="shared" si="15"/>
        <v>1026074.225525</v>
      </c>
      <c r="O107" s="153">
        <v>369</v>
      </c>
      <c r="P107" s="153">
        <v>7556</v>
      </c>
      <c r="Q107" s="153">
        <v>3200</v>
      </c>
      <c r="R107" s="153">
        <f>P107*10/3</f>
        <v>25186.666666666668</v>
      </c>
      <c r="S107" s="153">
        <v>3</v>
      </c>
      <c r="T107" s="153"/>
      <c r="U107" s="153"/>
    </row>
    <row r="108" spans="1:21">
      <c r="A108" s="149" t="s">
        <v>120</v>
      </c>
      <c r="B108" s="149"/>
      <c r="C108" s="140">
        <f>($L$71*O108)+(($C$3*0.06+Q108)*R108)/10000</f>
        <v>268050</v>
      </c>
      <c r="D108" s="49">
        <f t="shared" si="19"/>
        <v>448898.21299999999</v>
      </c>
      <c r="E108" s="141">
        <f t="shared" si="20"/>
        <v>545344</v>
      </c>
      <c r="F108" s="142">
        <f t="shared" si="20"/>
        <v>661949.10649999999</v>
      </c>
      <c r="G108" s="143">
        <f t="shared" si="20"/>
        <v>819978.21299999999</v>
      </c>
      <c r="H108" s="144">
        <f t="shared" si="20"/>
        <v>1145099.1065</v>
      </c>
      <c r="I108" s="68">
        <f t="shared" si="11"/>
        <v>402075</v>
      </c>
      <c r="J108" s="55">
        <f t="shared" si="15"/>
        <v>672272.31949999998</v>
      </c>
      <c r="K108" s="145">
        <f t="shared" si="15"/>
        <v>813394</v>
      </c>
      <c r="L108" s="146">
        <f t="shared" si="15"/>
        <v>974673.65974999999</v>
      </c>
      <c r="M108" s="147">
        <f t="shared" si="15"/>
        <v>1177377.3195</v>
      </c>
      <c r="N108" s="148">
        <f t="shared" si="15"/>
        <v>1591848.6597500001</v>
      </c>
      <c r="O108" s="153">
        <v>375</v>
      </c>
      <c r="P108" s="153">
        <v>15750</v>
      </c>
      <c r="Q108" s="153">
        <v>11400</v>
      </c>
      <c r="R108" s="153">
        <f t="shared" ref="R108:R115" si="21">P108*10/6</f>
        <v>26250</v>
      </c>
      <c r="S108" s="153">
        <v>6</v>
      </c>
      <c r="T108" s="153"/>
      <c r="U108" s="153"/>
    </row>
    <row r="109" spans="1:21">
      <c r="A109" s="149" t="s">
        <v>121</v>
      </c>
      <c r="B109" s="149"/>
      <c r="C109" s="140">
        <f>($L$71*O109)+(($C$3*0.06+Q109)*R109)/10000</f>
        <v>384899</v>
      </c>
      <c r="D109" s="49">
        <f t="shared" si="19"/>
        <v>643645.76734000002</v>
      </c>
      <c r="E109" s="141">
        <f t="shared" si="20"/>
        <v>779042</v>
      </c>
      <c r="F109" s="142">
        <f t="shared" si="20"/>
        <v>934596.38367000001</v>
      </c>
      <c r="G109" s="143">
        <f t="shared" si="20"/>
        <v>1131574.7673399998</v>
      </c>
      <c r="H109" s="144">
        <f t="shared" si="20"/>
        <v>1534595.3836700001</v>
      </c>
      <c r="I109" s="68">
        <f t="shared" si="11"/>
        <v>577348.5</v>
      </c>
      <c r="J109" s="55">
        <f t="shared" si="15"/>
        <v>964393.65101000003</v>
      </c>
      <c r="K109" s="145">
        <f t="shared" si="15"/>
        <v>1163941</v>
      </c>
      <c r="L109" s="146">
        <f t="shared" si="15"/>
        <v>1383644.5755050001</v>
      </c>
      <c r="M109" s="147">
        <f t="shared" si="15"/>
        <v>1644772.1510099999</v>
      </c>
      <c r="N109" s="148">
        <f t="shared" si="15"/>
        <v>2176093.0755050001</v>
      </c>
      <c r="O109" s="153">
        <v>445</v>
      </c>
      <c r="P109" s="153">
        <v>18540</v>
      </c>
      <c r="Q109" s="153">
        <v>33600</v>
      </c>
      <c r="R109" s="153">
        <f t="shared" si="21"/>
        <v>30900</v>
      </c>
      <c r="S109" s="153">
        <v>6</v>
      </c>
      <c r="T109" s="153"/>
      <c r="U109" s="153"/>
    </row>
    <row r="110" spans="1:21">
      <c r="A110" s="149" t="s">
        <v>122</v>
      </c>
      <c r="B110" s="149"/>
      <c r="C110" s="140">
        <f>($L$71*O110)+(($C$3*0.06+Q110)*R110)/10000</f>
        <v>655646</v>
      </c>
      <c r="D110" s="102">
        <f t="shared" si="19"/>
        <v>1094888.96236</v>
      </c>
      <c r="E110" s="141">
        <f t="shared" si="20"/>
        <v>1320536</v>
      </c>
      <c r="F110" s="142">
        <f t="shared" si="20"/>
        <v>1566338.4811800001</v>
      </c>
      <c r="G110" s="143">
        <f t="shared" si="20"/>
        <v>1853564.9623599998</v>
      </c>
      <c r="H110" s="144">
        <f t="shared" si="20"/>
        <v>2437084.4811800001</v>
      </c>
      <c r="I110" s="63">
        <f t="shared" si="11"/>
        <v>983469</v>
      </c>
      <c r="J110" s="107">
        <f t="shared" si="15"/>
        <v>1641258.4435399999</v>
      </c>
      <c r="K110" s="145">
        <f t="shared" si="15"/>
        <v>1976182</v>
      </c>
      <c r="L110" s="146">
        <f t="shared" si="15"/>
        <v>2331257.7217700002</v>
      </c>
      <c r="M110" s="147">
        <f t="shared" si="15"/>
        <v>2727757.4435399994</v>
      </c>
      <c r="N110" s="148">
        <f t="shared" si="15"/>
        <v>3529826.7217700002</v>
      </c>
      <c r="O110" s="153">
        <v>530</v>
      </c>
      <c r="P110" s="153">
        <v>22080</v>
      </c>
      <c r="Q110" s="153">
        <v>87200</v>
      </c>
      <c r="R110" s="153">
        <f t="shared" si="21"/>
        <v>36800</v>
      </c>
      <c r="S110" s="153">
        <v>6</v>
      </c>
      <c r="T110" s="153"/>
      <c r="U110" s="153"/>
    </row>
    <row r="111" spans="1:21">
      <c r="A111" s="149" t="s">
        <v>123</v>
      </c>
      <c r="B111" s="149"/>
      <c r="C111" s="140">
        <f>($L$71*O111)+(($C$3*0.06+Q111)*R111)/10000</f>
        <v>1163320</v>
      </c>
      <c r="D111" s="102">
        <f t="shared" si="19"/>
        <v>1941008.9112</v>
      </c>
      <c r="E111" s="141">
        <f t="shared" si="20"/>
        <v>2335884</v>
      </c>
      <c r="F111" s="142">
        <f t="shared" si="20"/>
        <v>2750909.4556</v>
      </c>
      <c r="G111" s="143">
        <f t="shared" si="20"/>
        <v>3207358.9112</v>
      </c>
      <c r="H111" s="144">
        <f t="shared" si="20"/>
        <v>4129329.4556</v>
      </c>
      <c r="I111" s="63">
        <f t="shared" si="11"/>
        <v>1744980</v>
      </c>
      <c r="J111" s="107">
        <f t="shared" si="15"/>
        <v>2910438.3668</v>
      </c>
      <c r="K111" s="145">
        <f t="shared" si="15"/>
        <v>3499204</v>
      </c>
      <c r="L111" s="146">
        <f t="shared" si="15"/>
        <v>4108114.1834</v>
      </c>
      <c r="M111" s="147">
        <f t="shared" si="15"/>
        <v>4758448.3668</v>
      </c>
      <c r="N111" s="148">
        <f t="shared" si="15"/>
        <v>6068194.1833999995</v>
      </c>
      <c r="O111" s="153">
        <v>641</v>
      </c>
      <c r="P111" s="153">
        <v>26295</v>
      </c>
      <c r="Q111" s="153">
        <v>174000</v>
      </c>
      <c r="R111" s="153">
        <f t="shared" si="21"/>
        <v>43825</v>
      </c>
      <c r="S111" s="153">
        <v>6</v>
      </c>
      <c r="T111" s="153"/>
      <c r="U111" s="153"/>
    </row>
    <row r="112" spans="1:21">
      <c r="A112" s="149" t="s">
        <v>124</v>
      </c>
      <c r="B112" s="149"/>
      <c r="C112" s="140">
        <f>($L$71*O112)+(($C$3*0.06+Q112)*R112)/10000</f>
        <v>1955425</v>
      </c>
      <c r="D112" s="102">
        <f t="shared" si="19"/>
        <v>3261178.6305</v>
      </c>
      <c r="E112" s="141">
        <f t="shared" si="20"/>
        <v>3920094</v>
      </c>
      <c r="F112" s="142">
        <f t="shared" si="20"/>
        <v>4599151.81525</v>
      </c>
      <c r="G112" s="143">
        <f t="shared" si="20"/>
        <v>5319633.6305</v>
      </c>
      <c r="H112" s="144">
        <f t="shared" si="20"/>
        <v>6769676.81525</v>
      </c>
      <c r="I112" s="63">
        <f t="shared" si="11"/>
        <v>2933137.5</v>
      </c>
      <c r="J112" s="107">
        <f t="shared" si="15"/>
        <v>4890692.94575</v>
      </c>
      <c r="K112" s="145">
        <f t="shared" si="15"/>
        <v>5875519</v>
      </c>
      <c r="L112" s="146">
        <f t="shared" si="15"/>
        <v>6880477.722875</v>
      </c>
      <c r="M112" s="147">
        <f t="shared" si="15"/>
        <v>7926860.44575</v>
      </c>
      <c r="N112" s="148">
        <f t="shared" si="15"/>
        <v>10028715.222874999</v>
      </c>
      <c r="O112" s="153">
        <v>751</v>
      </c>
      <c r="P112" s="153">
        <v>31290</v>
      </c>
      <c r="Q112" s="153">
        <v>284000</v>
      </c>
      <c r="R112" s="153">
        <f t="shared" si="21"/>
        <v>52150</v>
      </c>
      <c r="S112" s="153">
        <v>6</v>
      </c>
      <c r="T112" s="153" t="s">
        <v>125</v>
      </c>
      <c r="U112" s="153" t="s">
        <v>126</v>
      </c>
    </row>
    <row r="113" spans="1:21">
      <c r="A113" s="149" t="s">
        <v>127</v>
      </c>
      <c r="B113" s="149"/>
      <c r="C113" s="140">
        <f>$L$71*$O113+$P113</f>
        <v>79909</v>
      </c>
      <c r="D113" s="102">
        <f t="shared" si="19"/>
        <v>135331.13394</v>
      </c>
      <c r="E113" s="141">
        <f t="shared" si="20"/>
        <v>169062</v>
      </c>
      <c r="F113" s="142">
        <f t="shared" si="20"/>
        <v>222954.06697000001</v>
      </c>
      <c r="G113" s="143">
        <f t="shared" si="20"/>
        <v>318270.13393999997</v>
      </c>
      <c r="H113" s="144">
        <f t="shared" si="20"/>
        <v>517963.06696999999</v>
      </c>
      <c r="I113" s="63">
        <f t="shared" si="11"/>
        <v>119863.5</v>
      </c>
      <c r="J113" s="107">
        <f t="shared" si="15"/>
        <v>201921.70091000001</v>
      </c>
      <c r="K113" s="145">
        <f t="shared" si="15"/>
        <v>248971</v>
      </c>
      <c r="L113" s="146">
        <f t="shared" si="15"/>
        <v>316181.10045500001</v>
      </c>
      <c r="M113" s="147">
        <f t="shared" si="15"/>
        <v>424815.20090999996</v>
      </c>
      <c r="N113" s="148">
        <f t="shared" si="15"/>
        <v>651144.60045499995</v>
      </c>
      <c r="O113" s="153">
        <v>197</v>
      </c>
      <c r="P113" s="153">
        <v>37554</v>
      </c>
      <c r="Q113" s="153">
        <v>5850</v>
      </c>
      <c r="R113" s="153">
        <f t="shared" si="21"/>
        <v>62590</v>
      </c>
      <c r="S113" s="153">
        <v>1</v>
      </c>
      <c r="T113" s="153">
        <v>760</v>
      </c>
      <c r="U113" s="153">
        <v>1</v>
      </c>
    </row>
    <row r="114" spans="1:21">
      <c r="A114" s="149" t="s">
        <v>128</v>
      </c>
      <c r="B114" s="149"/>
      <c r="C114" s="140">
        <f t="shared" ref="C114:C115" si="22">$L$71*$O114+$P114</f>
        <v>109471.5</v>
      </c>
      <c r="D114" s="102">
        <f t="shared" si="19"/>
        <v>184601.77019000001</v>
      </c>
      <c r="E114" s="141">
        <f t="shared" si="20"/>
        <v>228187</v>
      </c>
      <c r="F114" s="142">
        <f t="shared" si="20"/>
        <v>291933.13509500003</v>
      </c>
      <c r="G114" s="143">
        <f t="shared" si="20"/>
        <v>397103.27018999995</v>
      </c>
      <c r="H114" s="144">
        <f t="shared" si="20"/>
        <v>616504.63509500003</v>
      </c>
      <c r="I114" s="63">
        <f t="shared" si="11"/>
        <v>164207.25</v>
      </c>
      <c r="J114" s="107">
        <f t="shared" si="15"/>
        <v>275827.65528499999</v>
      </c>
      <c r="K114" s="145">
        <f t="shared" si="15"/>
        <v>337658.5</v>
      </c>
      <c r="L114" s="146">
        <f t="shared" si="15"/>
        <v>419649.70264249999</v>
      </c>
      <c r="M114" s="147">
        <f t="shared" si="15"/>
        <v>543064.90528499987</v>
      </c>
      <c r="N114" s="148">
        <f t="shared" si="15"/>
        <v>798956.95264250005</v>
      </c>
      <c r="O114" s="153">
        <v>210.5</v>
      </c>
      <c r="P114" s="153">
        <v>64214</v>
      </c>
      <c r="Q114" s="153">
        <v>9390</v>
      </c>
      <c r="R114" s="153">
        <f t="shared" si="21"/>
        <v>107023.33333333333</v>
      </c>
      <c r="S114" s="153">
        <v>1</v>
      </c>
      <c r="T114" s="153">
        <v>1220</v>
      </c>
      <c r="U114" s="153">
        <v>1</v>
      </c>
    </row>
    <row r="115" spans="1:21">
      <c r="A115" s="149" t="s">
        <v>129</v>
      </c>
      <c r="B115" s="149"/>
      <c r="C115" s="140">
        <f t="shared" si="22"/>
        <v>146671.5</v>
      </c>
      <c r="D115" s="102">
        <f t="shared" si="19"/>
        <v>246601.52219000002</v>
      </c>
      <c r="E115" s="141">
        <f t="shared" si="20"/>
        <v>302587</v>
      </c>
      <c r="F115" s="142">
        <f t="shared" si="20"/>
        <v>378733.01109500002</v>
      </c>
      <c r="G115" s="143">
        <f t="shared" si="20"/>
        <v>496303.02218999999</v>
      </c>
      <c r="H115" s="144">
        <f t="shared" si="20"/>
        <v>740504.51109499997</v>
      </c>
      <c r="I115" s="63">
        <f t="shared" si="11"/>
        <v>220007.25</v>
      </c>
      <c r="J115" s="107">
        <f t="shared" si="15"/>
        <v>368827.28328500001</v>
      </c>
      <c r="K115" s="145">
        <f t="shared" si="15"/>
        <v>449258.5</v>
      </c>
      <c r="L115" s="146">
        <f t="shared" si="15"/>
        <v>549849.51664250006</v>
      </c>
      <c r="M115" s="147">
        <f t="shared" si="15"/>
        <v>691864.53328500001</v>
      </c>
      <c r="N115" s="148">
        <f t="shared" si="15"/>
        <v>984956.76664250006</v>
      </c>
      <c r="O115" s="153">
        <v>222.5</v>
      </c>
      <c r="P115" s="153">
        <v>98834</v>
      </c>
      <c r="Q115" s="153">
        <v>12900</v>
      </c>
      <c r="R115" s="153">
        <f t="shared" si="21"/>
        <v>164723.33333333334</v>
      </c>
      <c r="S115" s="153">
        <v>1</v>
      </c>
      <c r="T115" s="153">
        <v>1680</v>
      </c>
      <c r="U115" s="153">
        <v>1</v>
      </c>
    </row>
    <row r="116" spans="1:21">
      <c r="A116" s="149" t="s">
        <v>130</v>
      </c>
      <c r="B116" s="149"/>
      <c r="C116" s="140">
        <f>$L$71*$O116+$P116</f>
        <v>182949</v>
      </c>
      <c r="D116" s="102">
        <f t="shared" si="19"/>
        <v>307063.78034</v>
      </c>
      <c r="E116" s="141">
        <f t="shared" si="20"/>
        <v>375142</v>
      </c>
      <c r="F116" s="142">
        <f t="shared" si="20"/>
        <v>463380.39017000003</v>
      </c>
      <c r="G116" s="143">
        <f t="shared" si="20"/>
        <v>593042.78033999994</v>
      </c>
      <c r="H116" s="144">
        <f t="shared" si="20"/>
        <v>861429.39017000003</v>
      </c>
      <c r="I116" s="63">
        <f t="shared" si="11"/>
        <v>274423.5</v>
      </c>
      <c r="J116" s="107">
        <f t="shared" si="15"/>
        <v>459520.67050999997</v>
      </c>
      <c r="K116" s="145">
        <f t="shared" si="15"/>
        <v>558091</v>
      </c>
      <c r="L116" s="146">
        <f t="shared" si="15"/>
        <v>676820.58525500004</v>
      </c>
      <c r="M116" s="147">
        <f t="shared" si="15"/>
        <v>836974.17050999985</v>
      </c>
      <c r="N116" s="148">
        <f t="shared" si="15"/>
        <v>1166344.085255</v>
      </c>
      <c r="O116" s="153">
        <v>233</v>
      </c>
      <c r="P116" s="153">
        <v>132854</v>
      </c>
      <c r="Q116" s="153">
        <v>17900</v>
      </c>
      <c r="R116" s="153">
        <f>P116*10/6</f>
        <v>221423.33333333334</v>
      </c>
      <c r="S116" s="153">
        <v>1</v>
      </c>
      <c r="T116" s="153">
        <v>2250</v>
      </c>
      <c r="U116" s="153">
        <v>1</v>
      </c>
    </row>
    <row r="117" spans="1:21">
      <c r="A117" s="149" t="s">
        <v>131</v>
      </c>
      <c r="B117" s="149"/>
      <c r="C117" s="140">
        <f>$L$71*$O117+$P117</f>
        <v>225189</v>
      </c>
      <c r="D117" s="102">
        <f t="shared" si="19"/>
        <v>377463.49874000001</v>
      </c>
      <c r="E117" s="141">
        <f t="shared" si="20"/>
        <v>459622</v>
      </c>
      <c r="F117" s="142">
        <f t="shared" si="20"/>
        <v>561940.24936999998</v>
      </c>
      <c r="G117" s="143">
        <f t="shared" si="20"/>
        <v>705682.49873999995</v>
      </c>
      <c r="H117" s="144">
        <f t="shared" si="20"/>
        <v>1002229.24937</v>
      </c>
      <c r="I117" s="63">
        <f t="shared" si="11"/>
        <v>337783.5</v>
      </c>
      <c r="J117" s="107">
        <f t="shared" si="15"/>
        <v>565120.24811000004</v>
      </c>
      <c r="K117" s="145">
        <f t="shared" si="15"/>
        <v>684811</v>
      </c>
      <c r="L117" s="146">
        <f t="shared" si="15"/>
        <v>824660.37405500002</v>
      </c>
      <c r="M117" s="147">
        <f t="shared" si="15"/>
        <v>1005933.7481099999</v>
      </c>
      <c r="N117" s="148">
        <f t="shared" si="15"/>
        <v>1377543.874055</v>
      </c>
      <c r="O117" s="153">
        <v>249</v>
      </c>
      <c r="P117" s="153">
        <v>171654</v>
      </c>
      <c r="Q117" s="153">
        <v>26700</v>
      </c>
      <c r="R117" s="153">
        <f>P117*10/6</f>
        <v>286090</v>
      </c>
      <c r="S117" s="153">
        <v>1</v>
      </c>
      <c r="T117" s="153">
        <v>3260</v>
      </c>
      <c r="U117" s="153">
        <v>1</v>
      </c>
    </row>
  </sheetData>
  <sheetProtection password="9FD3" sheet="1" formatCells="0" formatColumns="0" formatRows="0" insertColumns="0" insertRows="0" insertHyperlinks="0" deleteColumns="0" deleteRows="0" sort="0" autoFilter="0" pivotTables="0"/>
  <protectedRanges>
    <protectedRange password="8BA3" sqref="B3:B6 C6 D6" name="범위1"/>
    <protectedRange password="8BA3" sqref="B71 D71 F71 H71" name="범위2"/>
  </protectedRanges>
  <mergeCells count="96"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69:N69"/>
    <mergeCell ref="A70:B70"/>
    <mergeCell ref="A72:B72"/>
    <mergeCell ref="A73:B73"/>
    <mergeCell ref="A74:B74"/>
    <mergeCell ref="A75:B75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:B2"/>
    <mergeCell ref="J3:L3"/>
    <mergeCell ref="F3:H4"/>
    <mergeCell ref="H6:J6"/>
    <mergeCell ref="A24:B24"/>
    <mergeCell ref="A25:B25"/>
  </mergeCells>
  <phoneticPr fontId="1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Lilac_Main</dc:creator>
  <cp:lastModifiedBy>Lilac_Main</cp:lastModifiedBy>
  <dcterms:created xsi:type="dcterms:W3CDTF">2014-05-21T05:03:48Z</dcterms:created>
  <dcterms:modified xsi:type="dcterms:W3CDTF">2014-05-21T05:33:36Z</dcterms:modified>
</cp:coreProperties>
</file>